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pupr0-my.sharepoint.com/personal/jrpertierra_pupr_edu/Documents/Courses/ME-4932/Homework Solutions/"/>
    </mc:Choice>
  </mc:AlternateContent>
  <xr:revisionPtr revIDLastSave="204" documentId="8_{E5F9984B-B0FA-4291-BB11-33A5CE4E0A16}" xr6:coauthVersionLast="47" xr6:coauthVersionMax="47" xr10:uidLastSave="{CEA9614C-8C32-4B1B-B321-97371B8CC4A8}"/>
  <bookViews>
    <workbookView xWindow="-120" yWindow="-120" windowWidth="38640" windowHeight="21120" xr2:uid="{00000000-000D-0000-FFFF-FFFF00000000}"/>
  </bookViews>
  <sheets>
    <sheet name="Goal Seek" sheetId="4" r:id="rId1"/>
    <sheet name="Circular Ref and Goal Seek" sheetId="2" r:id="rId2"/>
    <sheet name="Solver" sheetId="3" r:id="rId3"/>
  </sheets>
  <definedNames>
    <definedName name="_xlnm.Print_Area" localSheetId="1">'Circular Ref and Goal Seek'!$A$1:$M$34</definedName>
    <definedName name="_xlnm.Print_Area" localSheetId="0">'Goal Seek'!$A$1:$M$34</definedName>
    <definedName name="_xlnm.Print_Area" localSheetId="2">Solver!$A$1:$M$40</definedName>
    <definedName name="solver_adj" localSheetId="1" hidden="1">'Circular Ref and Goal Seek'!$B$2</definedName>
    <definedName name="solver_adj" localSheetId="0" hidden="1">'Goal Seek'!$B$2,'Goal Seek'!$E$19</definedName>
    <definedName name="solver_adj" localSheetId="2" hidden="1">Solver!$B$2,Solver!$E$25</definedName>
    <definedName name="solver_cvg" localSheetId="1" hidden="1">0.0001</definedName>
    <definedName name="solver_cvg" localSheetId="0" hidden="1">0.0001</definedName>
    <definedName name="solver_cvg" localSheetId="2" hidden="1">0.0001</definedName>
    <definedName name="solver_drv" localSheetId="1" hidden="1">2</definedName>
    <definedName name="solver_drv" localSheetId="0" hidden="1">2</definedName>
    <definedName name="solver_drv" localSheetId="2" hidden="1">2</definedName>
    <definedName name="solver_eng" localSheetId="1" hidden="1">1</definedName>
    <definedName name="solver_eng" localSheetId="0" hidden="1">1</definedName>
    <definedName name="solver_eng" localSheetId="2" hidden="1">1</definedName>
    <definedName name="solver_est" localSheetId="1" hidden="1">1</definedName>
    <definedName name="solver_est" localSheetId="0" hidden="1">1</definedName>
    <definedName name="solver_est" localSheetId="2" hidden="1">1</definedName>
    <definedName name="solver_itr" localSheetId="1" hidden="1">2147483647</definedName>
    <definedName name="solver_itr" localSheetId="0" hidden="1">2147483647</definedName>
    <definedName name="solver_itr" localSheetId="2" hidden="1">2147483647</definedName>
    <definedName name="solver_lhs1" localSheetId="0" hidden="1">'Goal Seek'!$N$19</definedName>
    <definedName name="solver_lhs1" localSheetId="2" hidden="1">Solver!$N$25</definedName>
    <definedName name="solver_mip" localSheetId="1" hidden="1">2147483647</definedName>
    <definedName name="solver_mip" localSheetId="0" hidden="1">2147483647</definedName>
    <definedName name="solver_mip" localSheetId="2" hidden="1">2147483647</definedName>
    <definedName name="solver_mni" localSheetId="1" hidden="1">30</definedName>
    <definedName name="solver_mni" localSheetId="0" hidden="1">30</definedName>
    <definedName name="solver_mni" localSheetId="2" hidden="1">30</definedName>
    <definedName name="solver_mrt" localSheetId="1" hidden="1">0.075</definedName>
    <definedName name="solver_mrt" localSheetId="0" hidden="1">0.075</definedName>
    <definedName name="solver_mrt" localSheetId="2" hidden="1">0.075</definedName>
    <definedName name="solver_msl" localSheetId="1" hidden="1">2</definedName>
    <definedName name="solver_msl" localSheetId="0" hidden="1">2</definedName>
    <definedName name="solver_msl" localSheetId="2" hidden="1">2</definedName>
    <definedName name="solver_neg" localSheetId="1" hidden="1">1</definedName>
    <definedName name="solver_neg" localSheetId="0" hidden="1">1</definedName>
    <definedName name="solver_neg" localSheetId="2" hidden="1">1</definedName>
    <definedName name="solver_nod" localSheetId="1" hidden="1">2147483647</definedName>
    <definedName name="solver_nod" localSheetId="0" hidden="1">2147483647</definedName>
    <definedName name="solver_nod" localSheetId="2" hidden="1">2147483647</definedName>
    <definedName name="solver_num" localSheetId="1" hidden="1">0</definedName>
    <definedName name="solver_num" localSheetId="0" hidden="1">1</definedName>
    <definedName name="solver_num" localSheetId="2" hidden="1">1</definedName>
    <definedName name="solver_nwt" localSheetId="1" hidden="1">1</definedName>
    <definedName name="solver_nwt" localSheetId="0" hidden="1">1</definedName>
    <definedName name="solver_nwt" localSheetId="2" hidden="1">1</definedName>
    <definedName name="solver_opt" localSheetId="1" hidden="1">'Circular Ref and Goal Seek'!$E$24</definedName>
    <definedName name="solver_opt" localSheetId="0" hidden="1">'Goal Seek'!$E$24</definedName>
    <definedName name="solver_opt" localSheetId="2" hidden="1">Solver!$E$30</definedName>
    <definedName name="solver_pre" localSheetId="1" hidden="1">0.000001</definedName>
    <definedName name="solver_pre" localSheetId="0" hidden="1">0.000001</definedName>
    <definedName name="solver_pre" localSheetId="2" hidden="1">0.000001</definedName>
    <definedName name="solver_rbv" localSheetId="1" hidden="1">2</definedName>
    <definedName name="solver_rbv" localSheetId="0" hidden="1">2</definedName>
    <definedName name="solver_rbv" localSheetId="2" hidden="1">2</definedName>
    <definedName name="solver_rel1" localSheetId="0" hidden="1">2</definedName>
    <definedName name="solver_rel1" localSheetId="2" hidden="1">2</definedName>
    <definedName name="solver_rhs1" localSheetId="0" hidden="1">'Goal Seek'!$N$22</definedName>
    <definedName name="solver_rhs1" localSheetId="2" hidden="1">Solver!$N$28</definedName>
    <definedName name="solver_rlx" localSheetId="1" hidden="1">2</definedName>
    <definedName name="solver_rlx" localSheetId="0" hidden="1">2</definedName>
    <definedName name="solver_rlx" localSheetId="2" hidden="1">2</definedName>
    <definedName name="solver_rsd" localSheetId="1" hidden="1">0</definedName>
    <definedName name="solver_rsd" localSheetId="0" hidden="1">0</definedName>
    <definedName name="solver_rsd" localSheetId="2" hidden="1">0</definedName>
    <definedName name="solver_scl" localSheetId="1" hidden="1">2</definedName>
    <definedName name="solver_scl" localSheetId="0" hidden="1">2</definedName>
    <definedName name="solver_scl" localSheetId="2" hidden="1">2</definedName>
    <definedName name="solver_sho" localSheetId="1" hidden="1">2</definedName>
    <definedName name="solver_sho" localSheetId="0" hidden="1">2</definedName>
    <definedName name="solver_sho" localSheetId="2" hidden="1">2</definedName>
    <definedName name="solver_ssz" localSheetId="1" hidden="1">100</definedName>
    <definedName name="solver_ssz" localSheetId="0" hidden="1">100</definedName>
    <definedName name="solver_ssz" localSheetId="2" hidden="1">100</definedName>
    <definedName name="solver_tim" localSheetId="1" hidden="1">2147483647</definedName>
    <definedName name="solver_tim" localSheetId="0" hidden="1">2147483647</definedName>
    <definedName name="solver_tim" localSheetId="2" hidden="1">2147483647</definedName>
    <definedName name="solver_tol" localSheetId="1" hidden="1">0.01</definedName>
    <definedName name="solver_tol" localSheetId="0" hidden="1">0.01</definedName>
    <definedName name="solver_tol" localSheetId="2" hidden="1">0.01</definedName>
    <definedName name="solver_typ" localSheetId="1" hidden="1">3</definedName>
    <definedName name="solver_typ" localSheetId="0" hidden="1">3</definedName>
    <definedName name="solver_typ" localSheetId="2" hidden="1">3</definedName>
    <definedName name="solver_val" localSheetId="1" hidden="1">0.3</definedName>
    <definedName name="solver_val" localSheetId="0" hidden="1">0.3</definedName>
    <definedName name="solver_val" localSheetId="2" hidden="1">0.3</definedName>
    <definedName name="solver_ver" localSheetId="1" hidden="1">3</definedName>
    <definedName name="solver_ver" localSheetId="0" hidden="1">3</definedName>
    <definedName name="solver_ver" localSheetId="2" hidden="1">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3" l="1"/>
  <c r="D9" i="3"/>
  <c r="F5" i="3"/>
  <c r="L5" i="3" s="1"/>
  <c r="N25" i="3"/>
  <c r="F40" i="3"/>
  <c r="F39" i="3"/>
  <c r="L14" i="3"/>
  <c r="C20" i="3" s="1"/>
  <c r="H20" i="3" s="1"/>
  <c r="H23" i="3"/>
  <c r="I23" i="3" s="1"/>
  <c r="D8" i="3"/>
  <c r="F8" i="3"/>
  <c r="B8" i="3"/>
  <c r="B5" i="3"/>
  <c r="H5" i="3"/>
  <c r="F6" i="3" s="1"/>
  <c r="B29" i="4"/>
  <c r="K22" i="4"/>
  <c r="H21" i="4"/>
  <c r="L21" i="4" s="1"/>
  <c r="H20" i="4"/>
  <c r="L20" i="4" s="1"/>
  <c r="N19" i="4"/>
  <c r="G19" i="4"/>
  <c r="H19" i="4" s="1"/>
  <c r="G18" i="4"/>
  <c r="H18" i="4" s="1"/>
  <c r="L17" i="4"/>
  <c r="H17" i="4"/>
  <c r="I17" i="4" s="1"/>
  <c r="L16" i="4"/>
  <c r="K16" i="4"/>
  <c r="H16" i="4"/>
  <c r="L15" i="4"/>
  <c r="H15" i="4"/>
  <c r="I15" i="4" s="1"/>
  <c r="E15" i="4"/>
  <c r="E22" i="4" s="1"/>
  <c r="C12" i="4"/>
  <c r="H12" i="4" s="1"/>
  <c r="L8" i="4"/>
  <c r="C14" i="4" s="1"/>
  <c r="H14" i="4" s="1"/>
  <c r="H8" i="4"/>
  <c r="J9" i="4" s="1"/>
  <c r="K14" i="4" s="1"/>
  <c r="L14" i="4" s="1"/>
  <c r="F6" i="4"/>
  <c r="B6" i="4"/>
  <c r="E13" i="4" s="1"/>
  <c r="L5" i="4"/>
  <c r="C13" i="4" s="1"/>
  <c r="H13" i="4" s="1"/>
  <c r="H5" i="4"/>
  <c r="J6" i="4" s="1"/>
  <c r="L2" i="4"/>
  <c r="H2" i="4"/>
  <c r="B3" i="4" s="1"/>
  <c r="H27" i="3"/>
  <c r="L27" i="3" s="1"/>
  <c r="H26" i="3"/>
  <c r="I26" i="3" s="1"/>
  <c r="H25" i="3"/>
  <c r="H24" i="3"/>
  <c r="H22" i="3"/>
  <c r="H21" i="3"/>
  <c r="L21" i="3" s="1"/>
  <c r="H14" i="3"/>
  <c r="J15" i="3" s="1"/>
  <c r="L11" i="3"/>
  <c r="C19" i="3" s="1"/>
  <c r="H19" i="3" s="1"/>
  <c r="H11" i="3"/>
  <c r="B12" i="3" s="1"/>
  <c r="L2" i="3"/>
  <c r="H2" i="3"/>
  <c r="F3" i="3" s="1"/>
  <c r="B3" i="2"/>
  <c r="H21" i="2"/>
  <c r="H17" i="2"/>
  <c r="E15" i="2"/>
  <c r="J6" i="3" l="1"/>
  <c r="L8" i="3"/>
  <c r="C18" i="3" s="1"/>
  <c r="H18" i="3" s="1"/>
  <c r="L22" i="3"/>
  <c r="H8" i="3"/>
  <c r="B6" i="3"/>
  <c r="F12" i="3"/>
  <c r="E19" i="3" s="1"/>
  <c r="I19" i="3" s="1"/>
  <c r="J12" i="3"/>
  <c r="L20" i="3"/>
  <c r="L26" i="3"/>
  <c r="L22" i="4"/>
  <c r="H23" i="4"/>
  <c r="H22" i="4"/>
  <c r="I22" i="4" s="1"/>
  <c r="L12" i="4"/>
  <c r="L18" i="4"/>
  <c r="I18" i="4"/>
  <c r="I19" i="4"/>
  <c r="L19" i="4"/>
  <c r="L13" i="4"/>
  <c r="I13" i="4"/>
  <c r="J3" i="4"/>
  <c r="B9" i="4"/>
  <c r="F3" i="4"/>
  <c r="E12" i="4" s="1"/>
  <c r="E16" i="4" s="1"/>
  <c r="I16" i="4" s="1"/>
  <c r="F9" i="4"/>
  <c r="E14" i="4" s="1"/>
  <c r="I14" i="4" s="1"/>
  <c r="I20" i="4"/>
  <c r="I21" i="4"/>
  <c r="L24" i="3"/>
  <c r="I24" i="3"/>
  <c r="L25" i="3"/>
  <c r="L19" i="3"/>
  <c r="I21" i="3"/>
  <c r="I27" i="3"/>
  <c r="B3" i="3"/>
  <c r="L23" i="3"/>
  <c r="J3" i="3"/>
  <c r="B15" i="3"/>
  <c r="F15" i="3"/>
  <c r="K16" i="2"/>
  <c r="E22" i="2"/>
  <c r="H28" i="3" l="1"/>
  <c r="I28" i="3" s="1"/>
  <c r="L18" i="3"/>
  <c r="B9" i="3"/>
  <c r="E22" i="3"/>
  <c r="I22" i="3" s="1"/>
  <c r="F9" i="3"/>
  <c r="E18" i="3" s="1"/>
  <c r="I18" i="3" s="1"/>
  <c r="L23" i="4"/>
  <c r="K23" i="4" s="1"/>
  <c r="B30" i="4" s="1"/>
  <c r="B33" i="4" s="1"/>
  <c r="I12" i="4"/>
  <c r="I23" i="4" s="1"/>
  <c r="E23" i="4" s="1"/>
  <c r="E20" i="3"/>
  <c r="I20" i="3" s="1"/>
  <c r="L2" i="2"/>
  <c r="C12" i="2" s="1"/>
  <c r="K22" i="2"/>
  <c r="L21" i="2"/>
  <c r="I21" i="2"/>
  <c r="H20" i="2"/>
  <c r="G19" i="2"/>
  <c r="H19" i="2" s="1"/>
  <c r="L19" i="2" s="1"/>
  <c r="G18" i="2"/>
  <c r="H18" i="2" s="1"/>
  <c r="H16" i="2"/>
  <c r="L16" i="2" s="1"/>
  <c r="L8" i="2"/>
  <c r="C14" i="2" s="1"/>
  <c r="L5" i="2"/>
  <c r="H5" i="2"/>
  <c r="J6" i="2" s="1"/>
  <c r="H2" i="2"/>
  <c r="H29" i="3" l="1"/>
  <c r="L28" i="3"/>
  <c r="L29" i="3" s="1"/>
  <c r="K29" i="3" s="1"/>
  <c r="B36" i="3" s="1"/>
  <c r="B28" i="4"/>
  <c r="B32" i="4" s="1"/>
  <c r="B27" i="4"/>
  <c r="B31" i="4" s="1"/>
  <c r="E24" i="4"/>
  <c r="N22" i="4"/>
  <c r="F3" i="2"/>
  <c r="E12" i="2"/>
  <c r="C13" i="2"/>
  <c r="H13" i="2" s="1"/>
  <c r="L13" i="2" s="1"/>
  <c r="I20" i="2"/>
  <c r="L17" i="2"/>
  <c r="F6" i="2"/>
  <c r="L20" i="2"/>
  <c r="I17" i="2"/>
  <c r="B6" i="2"/>
  <c r="J3" i="2"/>
  <c r="L18" i="2"/>
  <c r="I18" i="2"/>
  <c r="H8" i="2"/>
  <c r="C32" i="4" l="1"/>
  <c r="B34" i="4"/>
  <c r="F28" i="4"/>
  <c r="C31" i="4"/>
  <c r="F27" i="4"/>
  <c r="E13" i="2"/>
  <c r="I13" i="2" s="1"/>
  <c r="H14" i="2"/>
  <c r="L14" i="2" s="1"/>
  <c r="H12" i="2"/>
  <c r="J9" i="2"/>
  <c r="K14" i="2" s="1"/>
  <c r="F9" i="2"/>
  <c r="E14" i="2" s="1"/>
  <c r="B9" i="2"/>
  <c r="F30" i="4" l="1"/>
  <c r="F29" i="4"/>
  <c r="H22" i="2"/>
  <c r="E16" i="2"/>
  <c r="I16" i="2" s="1"/>
  <c r="I12" i="2"/>
  <c r="L12" i="2"/>
  <c r="H15" i="2"/>
  <c r="I14" i="2"/>
  <c r="L15" i="2" l="1"/>
  <c r="I15" i="2"/>
  <c r="L22" i="2" l="1"/>
  <c r="L23" i="2" s="1"/>
  <c r="I22" i="2" l="1"/>
  <c r="H23" i="2"/>
  <c r="K23" i="2" s="1"/>
  <c r="B30" i="2" s="1"/>
  <c r="I25" i="3"/>
  <c r="I29" i="3" s="1"/>
  <c r="E29" i="3" s="1"/>
  <c r="B35" i="3"/>
  <c r="B39" i="3" s="1"/>
  <c r="N28" i="3" l="1"/>
  <c r="E30" i="3"/>
  <c r="B33" i="3"/>
  <c r="B37" i="3" s="1"/>
  <c r="B34" i="3"/>
  <c r="B38" i="3" s="1"/>
  <c r="C38" i="3" l="1"/>
  <c r="B40" i="3"/>
  <c r="C37" i="3"/>
  <c r="F33" i="3"/>
  <c r="F34" i="3"/>
  <c r="F36" i="3" l="1"/>
  <c r="F35" i="3"/>
  <c r="E19" i="2"/>
  <c r="I19" i="2"/>
  <c r="N19" i="2"/>
  <c r="E23" i="2"/>
  <c r="I23" i="2"/>
  <c r="E24" i="2"/>
  <c r="B27" i="2"/>
  <c r="F27" i="2"/>
  <c r="B28" i="2"/>
  <c r="F28" i="2"/>
  <c r="B29" i="2"/>
  <c r="F29" i="2"/>
  <c r="F30" i="2"/>
  <c r="B31" i="2"/>
  <c r="C31" i="2"/>
  <c r="B32" i="2"/>
  <c r="C32" i="2"/>
  <c r="B33" i="2"/>
  <c r="B34" i="2"/>
</calcChain>
</file>

<file path=xl/sharedStrings.xml><?xml version="1.0" encoding="utf-8"?>
<sst xmlns="http://schemas.openxmlformats.org/spreadsheetml/2006/main" count="307" uniqueCount="74">
  <si>
    <t>Wing</t>
  </si>
  <si>
    <t>40% MAC</t>
  </si>
  <si>
    <t>Horizontal C.G. Location (ft):</t>
  </si>
  <si>
    <t>Factor</t>
  </si>
  <si>
    <t>Weight (lb)</t>
  </si>
  <si>
    <t>Horizontal Tail</t>
  </si>
  <si>
    <t>Horizontal Tail:</t>
  </si>
  <si>
    <t>Exposed LE (ft):</t>
  </si>
  <si>
    <t>MAC (ft):</t>
  </si>
  <si>
    <t>CT (ft):</t>
  </si>
  <si>
    <t>LES (deg):</t>
  </si>
  <si>
    <t>Exposed Span (ft):</t>
  </si>
  <si>
    <t>CR (ft):</t>
  </si>
  <si>
    <t>XMAC (ft):</t>
  </si>
  <si>
    <t>Taper:</t>
  </si>
  <si>
    <t>Exp. Area (ft^2)</t>
  </si>
  <si>
    <t>YMAC</t>
  </si>
  <si>
    <t>Vertical Tail</t>
  </si>
  <si>
    <t>Area</t>
  </si>
  <si>
    <t>Moment (ft-lb)</t>
  </si>
  <si>
    <t>Engine System</t>
  </si>
  <si>
    <t>Centroid</t>
  </si>
  <si>
    <t>Fuel Weight</t>
  </si>
  <si>
    <t>Fuselage</t>
  </si>
  <si>
    <t>Swet (ft^2)</t>
  </si>
  <si>
    <t>Nose Gear</t>
  </si>
  <si>
    <t>Main Gear</t>
  </si>
  <si>
    <t>Wo</t>
  </si>
  <si>
    <t>Crew+Passengers</t>
  </si>
  <si>
    <t>Payload</t>
  </si>
  <si>
    <t>All Else</t>
  </si>
  <si>
    <t>MAC</t>
  </si>
  <si>
    <t>Vert. CG Loc</t>
  </si>
  <si>
    <t>Moment</t>
  </si>
  <si>
    <t>B (ft)</t>
  </si>
  <si>
    <t>H (ft)</t>
  </si>
  <si>
    <t>MG Static Load (lbs)</t>
  </si>
  <si>
    <t>N (ft)</t>
  </si>
  <si>
    <t>M (ft)</t>
  </si>
  <si>
    <t>NG Static Load (lbs)</t>
  </si>
  <si>
    <t>NG Braking Load (lbs)</t>
  </si>
  <si>
    <t>MG Diameter (in)</t>
  </si>
  <si>
    <t>MG Width (in)</t>
  </si>
  <si>
    <t>NG Diameter (in)</t>
  </si>
  <si>
    <t>NG Width (in)</t>
  </si>
  <si>
    <t>NG Dynamic Load</t>
  </si>
  <si>
    <t>C.G. Calculation:</t>
  </si>
  <si>
    <t>Tire Sizing:</t>
  </si>
  <si>
    <t>Total</t>
  </si>
  <si>
    <t>Tires/Strut</t>
  </si>
  <si>
    <t>50% Lb</t>
  </si>
  <si>
    <t>Wing Panel:</t>
  </si>
  <si>
    <t>Base</t>
  </si>
  <si>
    <t>Item Weight</t>
  </si>
  <si>
    <t>Engine Weight</t>
  </si>
  <si>
    <t>Vertical Tail:</t>
  </si>
  <si>
    <t>TipBack Angle</t>
  </si>
  <si>
    <t>deg</t>
  </si>
  <si>
    <t>Exposed LE (ft)(Original=12.1):</t>
  </si>
  <si>
    <t>Type III (7.00-8 )</t>
  </si>
  <si>
    <t>Type III (8.5-10 8P )</t>
  </si>
  <si>
    <t>Angle from Tire to CG</t>
  </si>
  <si>
    <t>Solver</t>
  </si>
  <si>
    <t>Outboard Wing Panel:</t>
  </si>
  <si>
    <t>Inboard Wing Panel:</t>
  </si>
  <si>
    <t>Exposed LE (ft)(Original=5.87):</t>
  </si>
  <si>
    <t>Exposed LE (ft)(Inbd+3.32):</t>
  </si>
  <si>
    <t>Equivalent Wing:</t>
  </si>
  <si>
    <t>Canard:</t>
  </si>
  <si>
    <t>Propeller Sizing:</t>
  </si>
  <si>
    <t>HP</t>
  </si>
  <si>
    <t>ft</t>
  </si>
  <si>
    <t>2-bladed</t>
  </si>
  <si>
    <t>3-bladed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</si>
</sst>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2" xfId="0" applyNumberFormat="1" applyBorder="1"/>
    <xf numFmtId="0" fontId="0" fillId="0" borderId="2" xfId="0" applyBorder="1"/>
    <xf numFmtId="0" fontId="0" fillId="0" borderId="4" xfId="0" applyBorder="1"/>
    <xf numFmtId="2" fontId="0" fillId="0" borderId="5" xfId="0" applyNumberFormat="1" applyBorder="1"/>
    <xf numFmtId="0" fontId="0" fillId="0" borderId="5" xfId="0" applyBorder="1"/>
    <xf numFmtId="2" fontId="0" fillId="0" borderId="6" xfId="0" applyNumberFormat="1" applyBorder="1"/>
    <xf numFmtId="0" fontId="0" fillId="0" borderId="3" xfId="0" applyBorder="1"/>
    <xf numFmtId="2" fontId="0" fillId="2" borderId="0" xfId="0" applyNumberFormat="1" applyFill="1"/>
    <xf numFmtId="0" fontId="0" fillId="0" borderId="7" xfId="0" applyBorder="1"/>
    <xf numFmtId="1" fontId="0" fillId="0" borderId="0" xfId="0" applyNumberFormat="1"/>
    <xf numFmtId="0" fontId="0" fillId="0" borderId="8" xfId="0" applyBorder="1"/>
    <xf numFmtId="1" fontId="0" fillId="0" borderId="5" xfId="0" applyNumberFormat="1" applyBorder="1"/>
    <xf numFmtId="0" fontId="0" fillId="0" borderId="6" xfId="0" applyBorder="1"/>
    <xf numFmtId="0" fontId="0" fillId="3" borderId="1" xfId="0" applyFill="1" applyBorder="1"/>
    <xf numFmtId="164" fontId="0" fillId="0" borderId="0" xfId="0" applyNumberFormat="1"/>
    <xf numFmtId="9" fontId="0" fillId="0" borderId="0" xfId="0" applyNumberFormat="1"/>
    <xf numFmtId="164" fontId="0" fillId="0" borderId="2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4" borderId="0" xfId="0" applyNumberFormat="1" applyFill="1"/>
    <xf numFmtId="2" fontId="0" fillId="4" borderId="2" xfId="0" applyNumberFormat="1" applyFill="1" applyBorder="1"/>
    <xf numFmtId="164" fontId="0" fillId="2" borderId="0" xfId="0" applyNumberFormat="1" applyFill="1"/>
    <xf numFmtId="2" fontId="0" fillId="2" borderId="2" xfId="0" applyNumberFormat="1" applyFill="1" applyBorder="1"/>
    <xf numFmtId="0" fontId="0" fillId="0" borderId="1" xfId="0" applyBorder="1" applyAlignment="1">
      <alignment horizontal="right"/>
    </xf>
    <xf numFmtId="0" fontId="0" fillId="0" borderId="4" xfId="0" applyBorder="1" applyAlignment="1">
      <alignment horizontal="right"/>
    </xf>
    <xf numFmtId="2" fontId="0" fillId="0" borderId="9" xfId="0" applyNumberFormat="1" applyBorder="1"/>
    <xf numFmtId="0" fontId="0" fillId="3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1" fontId="0" fillId="0" borderId="16" xfId="0" applyNumberFormat="1" applyBorder="1"/>
    <xf numFmtId="0" fontId="0" fillId="0" borderId="16" xfId="0" applyBorder="1"/>
    <xf numFmtId="0" fontId="0" fillId="0" borderId="17" xfId="0" applyBorder="1"/>
    <xf numFmtId="0" fontId="0" fillId="0" borderId="0" xfId="0" applyAlignment="1">
      <alignment horizontal="right"/>
    </xf>
    <xf numFmtId="0" fontId="0" fillId="0" borderId="16" xfId="0" applyBorder="1" applyAlignment="1">
      <alignment horizontal="right"/>
    </xf>
    <xf numFmtId="2" fontId="0" fillId="0" borderId="1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73269</xdr:colOff>
      <xdr:row>2</xdr:row>
      <xdr:rowOff>0</xdr:rowOff>
    </xdr:from>
    <xdr:to>
      <xdr:col>26</xdr:col>
      <xdr:colOff>454930</xdr:colOff>
      <xdr:row>42</xdr:row>
      <xdr:rowOff>148626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A82C7A7-8526-ED13-436B-E6BFE36C9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09231" y="390769"/>
          <a:ext cx="6487430" cy="7964011"/>
        </a:xfrm>
        <a:prstGeom prst="rect">
          <a:avLst/>
        </a:prstGeom>
      </xdr:spPr>
    </xdr:pic>
    <xdr:clientData/>
  </xdr:twoCellAnchor>
  <xdr:twoCellAnchor editAs="oneCell">
    <xdr:from>
      <xdr:col>27</xdr:col>
      <xdr:colOff>73268</xdr:colOff>
      <xdr:row>1</xdr:row>
      <xdr:rowOff>36634</xdr:rowOff>
    </xdr:from>
    <xdr:to>
      <xdr:col>45</xdr:col>
      <xdr:colOff>74067</xdr:colOff>
      <xdr:row>42</xdr:row>
      <xdr:rowOff>73268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92557B2-B6EC-96E8-B53E-C3DC1B195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25576" y="232019"/>
          <a:ext cx="10991183" cy="80474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08901-A6A2-425F-82BE-FE951698E0EB}">
  <sheetPr>
    <pageSetUpPr fitToPage="1"/>
  </sheetPr>
  <dimension ref="A1:O34"/>
  <sheetViews>
    <sheetView tabSelected="1" zoomScale="78" zoomScaleNormal="78" workbookViewId="0">
      <selection activeCell="AM56" sqref="AM56"/>
    </sheetView>
  </sheetViews>
  <sheetFormatPr defaultRowHeight="15" x14ac:dyDescent="0.25"/>
  <cols>
    <col min="1" max="1" width="27" customWidth="1"/>
    <col min="2" max="2" width="13.5703125" customWidth="1"/>
    <col min="3" max="3" width="9" customWidth="1"/>
    <col min="4" max="4" width="9.42578125" customWidth="1"/>
    <col min="5" max="5" width="16.7109375" customWidth="1"/>
    <col min="6" max="6" width="7.5703125" customWidth="1"/>
    <col min="7" max="7" width="15.85546875" customWidth="1"/>
    <col min="8" max="8" width="9.5703125" customWidth="1"/>
    <col min="10" max="10" width="9.28515625" customWidth="1"/>
    <col min="11" max="11" width="10.7109375" customWidth="1"/>
  </cols>
  <sheetData>
    <row r="1" spans="1:14" ht="15.75" thickBot="1" x14ac:dyDescent="0.3">
      <c r="A1" t="s">
        <v>51</v>
      </c>
      <c r="L1" s="1"/>
      <c r="M1" s="1"/>
      <c r="N1" s="1"/>
    </row>
    <row r="2" spans="1:14" x14ac:dyDescent="0.25">
      <c r="A2" s="2" t="s">
        <v>58</v>
      </c>
      <c r="B2" s="25">
        <v>15.673389721306878</v>
      </c>
      <c r="C2" s="4" t="s">
        <v>9</v>
      </c>
      <c r="D2" s="19">
        <v>4.0999999999999996</v>
      </c>
      <c r="E2" s="4" t="s">
        <v>12</v>
      </c>
      <c r="F2" s="19">
        <v>6.7</v>
      </c>
      <c r="G2" s="4" t="s">
        <v>14</v>
      </c>
      <c r="H2" s="19">
        <f>D2/F2</f>
        <v>0.61194029850746257</v>
      </c>
      <c r="I2" s="4"/>
      <c r="J2" s="9"/>
      <c r="K2" t="s">
        <v>18</v>
      </c>
      <c r="L2" s="17">
        <f>H3*(F2+D2)/2</f>
        <v>255.96</v>
      </c>
      <c r="M2" s="1"/>
      <c r="N2" s="1"/>
    </row>
    <row r="3" spans="1:14" ht="15.75" thickBot="1" x14ac:dyDescent="0.3">
      <c r="A3" s="5" t="s">
        <v>8</v>
      </c>
      <c r="B3" s="6">
        <f>(2/3)*F2*((1+H2+H2^2)/(1+H2))</f>
        <v>5.5043209876543209</v>
      </c>
      <c r="C3" s="7" t="s">
        <v>10</v>
      </c>
      <c r="D3" s="20">
        <v>3.4</v>
      </c>
      <c r="E3" s="7" t="s">
        <v>13</v>
      </c>
      <c r="F3" s="20">
        <f>TAN(RADIANS(D3))*(H3/6)*(1+2*H2)/(1+H2)</f>
        <v>0.64752431288333523</v>
      </c>
      <c r="G3" s="7" t="s">
        <v>11</v>
      </c>
      <c r="H3" s="20">
        <v>47.4</v>
      </c>
      <c r="I3" s="7" t="s">
        <v>16</v>
      </c>
      <c r="J3" s="21">
        <f>(H3/6)*(1+2*H2)/(1+H2)</f>
        <v>10.899074074074072</v>
      </c>
      <c r="L3" s="1"/>
      <c r="M3" s="1"/>
      <c r="N3" s="1"/>
    </row>
    <row r="4" spans="1:14" ht="15.75" thickBot="1" x14ac:dyDescent="0.3">
      <c r="A4" t="s">
        <v>6</v>
      </c>
      <c r="L4" s="1"/>
      <c r="M4" s="1"/>
      <c r="N4" s="1"/>
    </row>
    <row r="5" spans="1:14" x14ac:dyDescent="0.25">
      <c r="A5" s="2" t="s">
        <v>7</v>
      </c>
      <c r="B5" s="3">
        <v>32.200000000000003</v>
      </c>
      <c r="C5" s="4" t="s">
        <v>9</v>
      </c>
      <c r="D5" s="19">
        <v>2.2999999999999998</v>
      </c>
      <c r="E5" s="4" t="s">
        <v>12</v>
      </c>
      <c r="F5" s="19">
        <v>4.0999999999999996</v>
      </c>
      <c r="G5" s="4" t="s">
        <v>14</v>
      </c>
      <c r="H5" s="19">
        <f>D5/F5</f>
        <v>0.56097560975609762</v>
      </c>
      <c r="I5" s="4"/>
      <c r="J5" s="9"/>
      <c r="K5" t="s">
        <v>18</v>
      </c>
      <c r="L5" s="1">
        <f>H6*(F5+D5)/2</f>
        <v>58.879999999999988</v>
      </c>
      <c r="M5" s="1"/>
      <c r="N5" s="1"/>
    </row>
    <row r="6" spans="1:14" ht="15.6" customHeight="1" thickBot="1" x14ac:dyDescent="0.3">
      <c r="A6" s="5" t="s">
        <v>8</v>
      </c>
      <c r="B6" s="6">
        <f>(2/3)*F5*((1+H5+H5^2)/(1+H5))</f>
        <v>3.2843749999999998</v>
      </c>
      <c r="C6" s="7" t="s">
        <v>10</v>
      </c>
      <c r="D6" s="20">
        <v>7</v>
      </c>
      <c r="E6" s="7" t="s">
        <v>13</v>
      </c>
      <c r="F6" s="20">
        <f>TAN(RADIANS(D6))*(H6/6)*(1+2*H5)/(1+H5)</f>
        <v>0.51185813826398352</v>
      </c>
      <c r="G6" s="7" t="s">
        <v>11</v>
      </c>
      <c r="H6" s="20">
        <v>18.399999999999999</v>
      </c>
      <c r="I6" s="7" t="s">
        <v>16</v>
      </c>
      <c r="J6" s="21">
        <f>(H6/6)*(1+2*H5)/(1+H5)</f>
        <v>4.1687499999999993</v>
      </c>
      <c r="L6" s="1"/>
      <c r="M6" s="1"/>
      <c r="N6" s="1"/>
    </row>
    <row r="7" spans="1:14" ht="15.75" thickBot="1" x14ac:dyDescent="0.3">
      <c r="A7" t="s">
        <v>55</v>
      </c>
      <c r="B7" s="1"/>
      <c r="D7" s="1"/>
      <c r="F7" s="1"/>
      <c r="H7" s="1"/>
      <c r="L7" s="1"/>
      <c r="M7" s="1"/>
      <c r="N7" s="1"/>
    </row>
    <row r="8" spans="1:14" x14ac:dyDescent="0.25">
      <c r="A8" s="2" t="s">
        <v>7</v>
      </c>
      <c r="B8" s="3">
        <v>29.4</v>
      </c>
      <c r="C8" s="4" t="s">
        <v>9</v>
      </c>
      <c r="D8" s="3">
        <v>2.4</v>
      </c>
      <c r="E8" s="4" t="s">
        <v>12</v>
      </c>
      <c r="F8" s="3">
        <v>7.9</v>
      </c>
      <c r="G8" s="4" t="s">
        <v>14</v>
      </c>
      <c r="H8" s="3">
        <f>D8/F8</f>
        <v>0.30379746835443033</v>
      </c>
      <c r="I8" s="4"/>
      <c r="J8" s="9"/>
      <c r="K8" t="s">
        <v>18</v>
      </c>
      <c r="L8" s="1">
        <f>H9*(F8+D8)/4</f>
        <v>35.020000000000003</v>
      </c>
      <c r="M8" s="1"/>
      <c r="N8" s="1"/>
    </row>
    <row r="9" spans="1:14" ht="15.75" thickBot="1" x14ac:dyDescent="0.3">
      <c r="A9" s="5" t="s">
        <v>8</v>
      </c>
      <c r="B9" s="6">
        <f>(2/3)*F8*((1+H8+H8^2)/(1+H8))</f>
        <v>5.63948220064725</v>
      </c>
      <c r="C9" s="7" t="s">
        <v>10</v>
      </c>
      <c r="D9" s="6">
        <v>41.2</v>
      </c>
      <c r="E9" s="7" t="s">
        <v>13</v>
      </c>
      <c r="F9" s="6">
        <f>TAN(RADIANS(D9))*(H9/6)*(1+2*H8)/(1+H8)</f>
        <v>2.4466817135149328</v>
      </c>
      <c r="G9" s="7" t="s">
        <v>11</v>
      </c>
      <c r="H9" s="6">
        <v>13.6</v>
      </c>
      <c r="I9" s="7" t="s">
        <v>16</v>
      </c>
      <c r="J9" s="8">
        <f>(H9/6)*(1+2*H8)/(1+H8)</f>
        <v>2.7948220064724922</v>
      </c>
      <c r="L9" s="1"/>
      <c r="M9" s="1"/>
      <c r="N9" s="1"/>
    </row>
    <row r="10" spans="1:14" ht="15.75" thickBot="1" x14ac:dyDescent="0.3">
      <c r="B10" s="1"/>
      <c r="D10" s="1"/>
      <c r="F10" s="1"/>
      <c r="H10" s="1"/>
    </row>
    <row r="11" spans="1:14" x14ac:dyDescent="0.25">
      <c r="A11" s="16" t="s">
        <v>46</v>
      </c>
      <c r="B11" s="4"/>
      <c r="C11" s="4" t="s">
        <v>52</v>
      </c>
      <c r="D11" s="4" t="s">
        <v>2</v>
      </c>
      <c r="E11" s="4"/>
      <c r="F11" s="4"/>
      <c r="G11" s="4" t="s">
        <v>3</v>
      </c>
      <c r="H11" s="4" t="s">
        <v>4</v>
      </c>
      <c r="I11" s="4" t="s">
        <v>19</v>
      </c>
      <c r="J11" s="4"/>
      <c r="K11" s="4" t="s">
        <v>32</v>
      </c>
      <c r="L11" s="9" t="s">
        <v>33</v>
      </c>
    </row>
    <row r="12" spans="1:14" x14ac:dyDescent="0.25">
      <c r="A12" s="11" t="s">
        <v>0</v>
      </c>
      <c r="B12" t="s">
        <v>15</v>
      </c>
      <c r="C12" s="12">
        <f>L2</f>
        <v>255.96</v>
      </c>
      <c r="D12" t="s">
        <v>1</v>
      </c>
      <c r="E12" s="17">
        <f>B2+F3+0.4*B3</f>
        <v>18.522642429251942</v>
      </c>
      <c r="G12">
        <v>2.5</v>
      </c>
      <c r="H12" s="12">
        <f>G12*C12</f>
        <v>639.9</v>
      </c>
      <c r="I12" s="12">
        <f>H12*E12</f>
        <v>11852.638890478318</v>
      </c>
      <c r="K12" s="22">
        <v>7.9</v>
      </c>
      <c r="L12" s="13">
        <f>K12*H12</f>
        <v>5055.21</v>
      </c>
    </row>
    <row r="13" spans="1:14" x14ac:dyDescent="0.25">
      <c r="A13" s="11" t="s">
        <v>5</v>
      </c>
      <c r="B13" t="s">
        <v>15</v>
      </c>
      <c r="C13" s="12">
        <f>L5</f>
        <v>58.879999999999988</v>
      </c>
      <c r="D13" t="s">
        <v>1</v>
      </c>
      <c r="E13" s="17">
        <f>0.4*B6+B5+F6</f>
        <v>34.025608138263983</v>
      </c>
      <c r="G13">
        <v>2</v>
      </c>
      <c r="H13" s="12">
        <f>G13*C13</f>
        <v>117.75999999999998</v>
      </c>
      <c r="I13" s="12">
        <f t="shared" ref="I13:I15" si="0">H13*E13</f>
        <v>4006.8556143619658</v>
      </c>
      <c r="K13" s="22">
        <v>7.4</v>
      </c>
      <c r="L13" s="13">
        <f t="shared" ref="L13:L22" si="1">K13*H13</f>
        <v>871.42399999999986</v>
      </c>
    </row>
    <row r="14" spans="1:14" x14ac:dyDescent="0.25">
      <c r="A14" s="11" t="s">
        <v>17</v>
      </c>
      <c r="B14" t="s">
        <v>15</v>
      </c>
      <c r="C14" s="12">
        <f>L8</f>
        <v>35.020000000000003</v>
      </c>
      <c r="D14" t="s">
        <v>1</v>
      </c>
      <c r="E14" s="17">
        <f>B8+F9+0.4*B9</f>
        <v>34.102474593773834</v>
      </c>
      <c r="G14">
        <v>2</v>
      </c>
      <c r="H14" s="12">
        <f>G14*C14</f>
        <v>70.040000000000006</v>
      </c>
      <c r="I14" s="12">
        <f t="shared" si="0"/>
        <v>2388.5373205479195</v>
      </c>
      <c r="K14" s="17">
        <f>K13+J9</f>
        <v>10.194822006472492</v>
      </c>
      <c r="L14" s="13">
        <f t="shared" si="1"/>
        <v>714.04533333333336</v>
      </c>
    </row>
    <row r="15" spans="1:14" x14ac:dyDescent="0.25">
      <c r="A15" s="11" t="s">
        <v>23</v>
      </c>
      <c r="B15" t="s">
        <v>24</v>
      </c>
      <c r="C15" s="12">
        <v>700</v>
      </c>
      <c r="D15" t="s">
        <v>50</v>
      </c>
      <c r="E15" s="22">
        <f>37.58/2</f>
        <v>18.79</v>
      </c>
      <c r="G15">
        <v>1.4</v>
      </c>
      <c r="H15" s="12">
        <f>G15*C15</f>
        <v>979.99999999999989</v>
      </c>
      <c r="I15" s="12">
        <f t="shared" si="0"/>
        <v>18414.199999999997</v>
      </c>
      <c r="K15" s="22">
        <v>5.5</v>
      </c>
      <c r="L15" s="13">
        <f t="shared" si="1"/>
        <v>5389.9999999999991</v>
      </c>
    </row>
    <row r="16" spans="1:14" x14ac:dyDescent="0.25">
      <c r="A16" s="11" t="s">
        <v>22</v>
      </c>
      <c r="B16" t="s">
        <v>53</v>
      </c>
      <c r="C16">
        <v>2000</v>
      </c>
      <c r="D16" t="s">
        <v>1</v>
      </c>
      <c r="E16" s="17">
        <f>E12</f>
        <v>18.522642429251942</v>
      </c>
      <c r="H16" s="12">
        <f>C16</f>
        <v>2000</v>
      </c>
      <c r="I16" s="12">
        <f>H16*E16</f>
        <v>37045.284858503881</v>
      </c>
      <c r="K16" s="17">
        <f>K12</f>
        <v>7.9</v>
      </c>
      <c r="L16" s="13">
        <f t="shared" si="1"/>
        <v>15800</v>
      </c>
    </row>
    <row r="17" spans="1:15" x14ac:dyDescent="0.25">
      <c r="A17" s="11" t="s">
        <v>20</v>
      </c>
      <c r="B17" t="s">
        <v>54</v>
      </c>
      <c r="C17">
        <v>350</v>
      </c>
      <c r="D17" t="s">
        <v>21</v>
      </c>
      <c r="E17" s="22">
        <v>5.4</v>
      </c>
      <c r="G17">
        <v>1.3</v>
      </c>
      <c r="H17" s="12">
        <f>C17*G17</f>
        <v>455</v>
      </c>
      <c r="I17">
        <f>H17*E17</f>
        <v>2457</v>
      </c>
      <c r="K17" s="22">
        <v>5.2</v>
      </c>
      <c r="L17" s="13">
        <f t="shared" si="1"/>
        <v>2366</v>
      </c>
    </row>
    <row r="18" spans="1:15" x14ac:dyDescent="0.25">
      <c r="A18" s="11" t="s">
        <v>25</v>
      </c>
      <c r="B18" t="s">
        <v>27</v>
      </c>
      <c r="C18">
        <v>8000</v>
      </c>
      <c r="D18" t="s">
        <v>21</v>
      </c>
      <c r="E18" s="22">
        <v>4.2</v>
      </c>
      <c r="G18">
        <f>0.057*0.15*0.986</f>
        <v>8.4302999999999999E-3</v>
      </c>
      <c r="H18" s="12">
        <f>G18*C18</f>
        <v>67.442400000000006</v>
      </c>
      <c r="I18" s="12">
        <f t="shared" ref="I18:I22" si="2">H18*E18</f>
        <v>283.25808000000006</v>
      </c>
      <c r="K18" s="22">
        <v>2.6</v>
      </c>
      <c r="L18" s="13">
        <f t="shared" si="1"/>
        <v>175.35024000000001</v>
      </c>
      <c r="N18" t="s">
        <v>56</v>
      </c>
    </row>
    <row r="19" spans="1:15" x14ac:dyDescent="0.25">
      <c r="A19" s="11" t="s">
        <v>26</v>
      </c>
      <c r="B19" t="s">
        <v>27</v>
      </c>
      <c r="C19">
        <v>8000</v>
      </c>
      <c r="D19" t="s">
        <v>21</v>
      </c>
      <c r="E19" s="24">
        <v>20.487324613801583</v>
      </c>
      <c r="G19">
        <f>0.057*0.85*0.986</f>
        <v>4.77717E-2</v>
      </c>
      <c r="H19" s="12">
        <f>G19*C19</f>
        <v>382.17360000000002</v>
      </c>
      <c r="I19" s="12">
        <f t="shared" si="2"/>
        <v>7829.7146020251612</v>
      </c>
      <c r="K19" s="22">
        <v>2.6</v>
      </c>
      <c r="L19" s="13">
        <f t="shared" si="1"/>
        <v>993.65136000000007</v>
      </c>
      <c r="N19" s="17">
        <f>DEGREES(ATAN(5.9/(36.4-E19)))</f>
        <v>20.343450816849597</v>
      </c>
      <c r="O19" t="s">
        <v>57</v>
      </c>
    </row>
    <row r="20" spans="1:15" x14ac:dyDescent="0.25">
      <c r="A20" s="11" t="s">
        <v>28</v>
      </c>
      <c r="B20" t="s">
        <v>53</v>
      </c>
      <c r="C20">
        <v>1020</v>
      </c>
      <c r="D20" t="s">
        <v>21</v>
      </c>
      <c r="E20" s="22">
        <v>15.5</v>
      </c>
      <c r="H20" s="12">
        <f>C20</f>
        <v>1020</v>
      </c>
      <c r="I20">
        <f t="shared" si="2"/>
        <v>15810</v>
      </c>
      <c r="K20" s="22">
        <v>5.5</v>
      </c>
      <c r="L20" s="13">
        <f t="shared" si="1"/>
        <v>5610</v>
      </c>
    </row>
    <row r="21" spans="1:15" x14ac:dyDescent="0.25">
      <c r="A21" s="11" t="s">
        <v>29</v>
      </c>
      <c r="B21" t="s">
        <v>53</v>
      </c>
      <c r="C21">
        <v>1000</v>
      </c>
      <c r="D21" t="s">
        <v>21</v>
      </c>
      <c r="E21" s="22">
        <v>21.7</v>
      </c>
      <c r="H21">
        <f>C21</f>
        <v>1000</v>
      </c>
      <c r="I21">
        <f t="shared" si="2"/>
        <v>21700</v>
      </c>
      <c r="K21" s="22">
        <v>5.5</v>
      </c>
      <c r="L21" s="13">
        <f t="shared" si="1"/>
        <v>5500</v>
      </c>
      <c r="N21" t="s">
        <v>61</v>
      </c>
    </row>
    <row r="22" spans="1:15" x14ac:dyDescent="0.25">
      <c r="A22" s="11" t="s">
        <v>30</v>
      </c>
      <c r="C22" s="12"/>
      <c r="E22" s="17">
        <f>E15</f>
        <v>18.79</v>
      </c>
      <c r="H22" s="12">
        <f>$C$18-SUM(H12:H21)</f>
        <v>1267.6840000000002</v>
      </c>
      <c r="I22" s="12">
        <f t="shared" si="2"/>
        <v>23819.782360000001</v>
      </c>
      <c r="K22" s="17">
        <f>K15</f>
        <v>5.5</v>
      </c>
      <c r="L22" s="13">
        <f t="shared" si="1"/>
        <v>6972.2620000000006</v>
      </c>
      <c r="N22" s="17">
        <f>DEGREES(ATAN((E19-E23)/K23))</f>
        <v>20.299975210787704</v>
      </c>
      <c r="O22" t="s">
        <v>57</v>
      </c>
    </row>
    <row r="23" spans="1:15" ht="15.75" thickBot="1" x14ac:dyDescent="0.3">
      <c r="A23" s="5" t="s">
        <v>48</v>
      </c>
      <c r="B23" s="7"/>
      <c r="C23" s="7"/>
      <c r="D23" s="7"/>
      <c r="E23" s="20">
        <f>I23/H23</f>
        <v>18.200908965739657</v>
      </c>
      <c r="F23" s="7"/>
      <c r="G23" s="7"/>
      <c r="H23" s="14">
        <f>SUM(H12:H22)</f>
        <v>8000</v>
      </c>
      <c r="I23" s="14">
        <f>SUM(I12:I22)</f>
        <v>145607.27172591726</v>
      </c>
      <c r="J23" s="7"/>
      <c r="K23" s="20">
        <f>L23/H23</f>
        <v>6.1809928666666671</v>
      </c>
      <c r="L23" s="15">
        <f>SUM(L12:L22)</f>
        <v>49447.942933333339</v>
      </c>
    </row>
    <row r="24" spans="1:15" x14ac:dyDescent="0.25">
      <c r="E24" s="10">
        <f>(E23-B2-F3)/B3</f>
        <v>0.34154892779074802</v>
      </c>
      <c r="F24" t="s">
        <v>31</v>
      </c>
    </row>
    <row r="25" spans="1:15" ht="15.75" thickBot="1" x14ac:dyDescent="0.3">
      <c r="E25" s="1"/>
    </row>
    <row r="26" spans="1:15" x14ac:dyDescent="0.25">
      <c r="A26" s="16" t="s">
        <v>47</v>
      </c>
      <c r="B26" s="4"/>
      <c r="C26" s="4"/>
      <c r="D26" s="4"/>
      <c r="E26" s="4"/>
      <c r="F26" s="4"/>
      <c r="G26" s="9"/>
      <c r="H26" t="s">
        <v>49</v>
      </c>
    </row>
    <row r="27" spans="1:15" x14ac:dyDescent="0.25">
      <c r="A27" s="11" t="s">
        <v>37</v>
      </c>
      <c r="B27" s="1">
        <f>E23-E18</f>
        <v>14.000908965739658</v>
      </c>
      <c r="E27" t="s">
        <v>41</v>
      </c>
      <c r="F27" s="17">
        <f>1.51*(B31/(2*H27))^0.349</f>
        <v>25.892193601550133</v>
      </c>
      <c r="G27" s="13" t="s">
        <v>60</v>
      </c>
      <c r="H27">
        <v>1</v>
      </c>
    </row>
    <row r="28" spans="1:15" x14ac:dyDescent="0.25">
      <c r="A28" s="11" t="s">
        <v>38</v>
      </c>
      <c r="B28" s="1">
        <f>E19-E23</f>
        <v>2.2864156480619258</v>
      </c>
      <c r="E28" t="s">
        <v>42</v>
      </c>
      <c r="F28" s="17">
        <f>0.715*(B31/(2*H28))^0.312</f>
        <v>9.0709418057248428</v>
      </c>
      <c r="G28" s="13"/>
      <c r="H28">
        <v>1</v>
      </c>
    </row>
    <row r="29" spans="1:15" x14ac:dyDescent="0.25">
      <c r="A29" s="11" t="s">
        <v>34</v>
      </c>
      <c r="B29" s="1">
        <f>E19-E18</f>
        <v>16.287324613801584</v>
      </c>
      <c r="E29" t="s">
        <v>43</v>
      </c>
      <c r="F29" s="17">
        <f>1.51*(B34/H29)^0.349</f>
        <v>19.780973407343712</v>
      </c>
      <c r="G29" s="13" t="s">
        <v>59</v>
      </c>
      <c r="H29">
        <v>1</v>
      </c>
    </row>
    <row r="30" spans="1:15" x14ac:dyDescent="0.25">
      <c r="A30" s="11" t="s">
        <v>35</v>
      </c>
      <c r="B30" s="1">
        <f>K23</f>
        <v>6.1809928666666671</v>
      </c>
      <c r="E30" t="s">
        <v>44</v>
      </c>
      <c r="F30" s="17">
        <f>0.715*(B34/H30)^0.312</f>
        <v>7.1306127284069047</v>
      </c>
      <c r="G30" s="13"/>
      <c r="H30">
        <v>1</v>
      </c>
    </row>
    <row r="31" spans="1:15" x14ac:dyDescent="0.25">
      <c r="A31" s="11" t="s">
        <v>36</v>
      </c>
      <c r="B31" s="12">
        <f>H23*B27/B29</f>
        <v>6876.959499597886</v>
      </c>
      <c r="C31" s="18">
        <f>B31/$H$23</f>
        <v>0.85961993744973575</v>
      </c>
      <c r="G31" s="13"/>
    </row>
    <row r="32" spans="1:15" x14ac:dyDescent="0.25">
      <c r="A32" s="11" t="s">
        <v>39</v>
      </c>
      <c r="B32" s="12">
        <f>H23*B28/B29</f>
        <v>1123.0405004021145</v>
      </c>
      <c r="C32" s="18">
        <f>B32/$H$23</f>
        <v>0.14038006255026431</v>
      </c>
      <c r="G32" s="13"/>
    </row>
    <row r="33" spans="1:7" x14ac:dyDescent="0.25">
      <c r="A33" s="11" t="s">
        <v>40</v>
      </c>
      <c r="B33" s="12">
        <f>10*B30*H23/(32.17*B29)</f>
        <v>943.72925112771247</v>
      </c>
      <c r="G33" s="13"/>
    </row>
    <row r="34" spans="1:7" ht="15.75" thickBot="1" x14ac:dyDescent="0.3">
      <c r="A34" s="5" t="s">
        <v>45</v>
      </c>
      <c r="B34" s="14">
        <f>(B32+B33)/1.3</f>
        <v>1589.8228857921745</v>
      </c>
      <c r="C34" s="7"/>
      <c r="D34" s="7"/>
      <c r="E34" s="7"/>
      <c r="F34" s="7"/>
      <c r="G34" s="15"/>
    </row>
  </sheetData>
  <pageMargins left="0.7" right="0.7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4"/>
  <sheetViews>
    <sheetView zoomScale="78" zoomScaleNormal="78" workbookViewId="0">
      <selection activeCell="E19" sqref="E19"/>
    </sheetView>
  </sheetViews>
  <sheetFormatPr defaultRowHeight="15" x14ac:dyDescent="0.25"/>
  <cols>
    <col min="1" max="1" width="27" customWidth="1"/>
    <col min="2" max="2" width="13.5703125" customWidth="1"/>
    <col min="3" max="3" width="9" customWidth="1"/>
    <col min="4" max="4" width="9.42578125" customWidth="1"/>
    <col min="5" max="5" width="16.7109375" customWidth="1"/>
    <col min="6" max="6" width="7.5703125" customWidth="1"/>
    <col min="7" max="7" width="15.85546875" customWidth="1"/>
    <col min="8" max="8" width="9.5703125" customWidth="1"/>
    <col min="10" max="10" width="9.28515625" customWidth="1"/>
    <col min="11" max="11" width="10.7109375" customWidth="1"/>
  </cols>
  <sheetData>
    <row r="1" spans="1:14" ht="15.75" thickBot="1" x14ac:dyDescent="0.3">
      <c r="A1" t="s">
        <v>51</v>
      </c>
      <c r="L1" s="1"/>
      <c r="M1" s="1"/>
      <c r="N1" s="1"/>
    </row>
    <row r="2" spans="1:14" x14ac:dyDescent="0.25">
      <c r="A2" s="2" t="s">
        <v>58</v>
      </c>
      <c r="B2" s="23">
        <v>16</v>
      </c>
      <c r="C2" s="4" t="s">
        <v>9</v>
      </c>
      <c r="D2" s="19">
        <v>4.0999999999999996</v>
      </c>
      <c r="E2" s="4" t="s">
        <v>12</v>
      </c>
      <c r="F2" s="19">
        <v>6.7</v>
      </c>
      <c r="G2" s="4" t="s">
        <v>14</v>
      </c>
      <c r="H2" s="19">
        <f>D2/F2</f>
        <v>0.61194029850746257</v>
      </c>
      <c r="I2" s="4"/>
      <c r="J2" s="9"/>
      <c r="K2" t="s">
        <v>18</v>
      </c>
      <c r="L2" s="17">
        <f>H3*(F2+D2)/2</f>
        <v>255.96</v>
      </c>
      <c r="M2" s="1"/>
      <c r="N2" s="1"/>
    </row>
    <row r="3" spans="1:14" ht="15.75" thickBot="1" x14ac:dyDescent="0.3">
      <c r="A3" s="5" t="s">
        <v>8</v>
      </c>
      <c r="B3" s="6">
        <f>(2/3)*F2*((1+H2+H2^2)/(1+H2))</f>
        <v>5.5043209876543209</v>
      </c>
      <c r="C3" s="7" t="s">
        <v>10</v>
      </c>
      <c r="D3" s="20">
        <v>3.4</v>
      </c>
      <c r="E3" s="7" t="s">
        <v>13</v>
      </c>
      <c r="F3" s="20">
        <f>TAN(RADIANS(D3))*(H3/6)*(1+2*H2)/(1+H2)</f>
        <v>0.64752431288333523</v>
      </c>
      <c r="G3" s="7" t="s">
        <v>11</v>
      </c>
      <c r="H3" s="20">
        <v>47.4</v>
      </c>
      <c r="I3" s="7" t="s">
        <v>16</v>
      </c>
      <c r="J3" s="21">
        <f>(H3/6)*(1+2*H2)/(1+H2)</f>
        <v>10.899074074074072</v>
      </c>
      <c r="L3" s="1"/>
      <c r="M3" s="1"/>
      <c r="N3" s="1"/>
    </row>
    <row r="4" spans="1:14" ht="15.75" thickBot="1" x14ac:dyDescent="0.3">
      <c r="A4" t="s">
        <v>6</v>
      </c>
      <c r="L4" s="1"/>
      <c r="M4" s="1"/>
      <c r="N4" s="1"/>
    </row>
    <row r="5" spans="1:14" x14ac:dyDescent="0.25">
      <c r="A5" s="2" t="s">
        <v>7</v>
      </c>
      <c r="B5" s="3">
        <v>32.200000000000003</v>
      </c>
      <c r="C5" s="4" t="s">
        <v>9</v>
      </c>
      <c r="D5" s="19">
        <v>2.2999999999999998</v>
      </c>
      <c r="E5" s="4" t="s">
        <v>12</v>
      </c>
      <c r="F5" s="19">
        <v>4.0999999999999996</v>
      </c>
      <c r="G5" s="4" t="s">
        <v>14</v>
      </c>
      <c r="H5" s="19">
        <f>D5/F5</f>
        <v>0.56097560975609762</v>
      </c>
      <c r="I5" s="4"/>
      <c r="J5" s="9"/>
      <c r="K5" t="s">
        <v>18</v>
      </c>
      <c r="L5" s="1">
        <f>H6*(F5+D5)/2</f>
        <v>58.879999999999988</v>
      </c>
      <c r="M5" s="1"/>
      <c r="N5" s="1"/>
    </row>
    <row r="6" spans="1:14" ht="15.6" customHeight="1" thickBot="1" x14ac:dyDescent="0.3">
      <c r="A6" s="5" t="s">
        <v>8</v>
      </c>
      <c r="B6" s="6">
        <f>(2/3)*F5*((1+H5+H5^2)/(1+H5))</f>
        <v>3.2843749999999998</v>
      </c>
      <c r="C6" s="7" t="s">
        <v>10</v>
      </c>
      <c r="D6" s="20">
        <v>7</v>
      </c>
      <c r="E6" s="7" t="s">
        <v>13</v>
      </c>
      <c r="F6" s="20">
        <f>TAN(RADIANS(D6))*(H6/6)*(1+2*H5)/(1+H5)</f>
        <v>0.51185813826398352</v>
      </c>
      <c r="G6" s="7" t="s">
        <v>11</v>
      </c>
      <c r="H6" s="20">
        <v>18.399999999999999</v>
      </c>
      <c r="I6" s="7" t="s">
        <v>16</v>
      </c>
      <c r="J6" s="21">
        <f>(H6/6)*(1+2*H5)/(1+H5)</f>
        <v>4.1687499999999993</v>
      </c>
      <c r="L6" s="1"/>
      <c r="M6" s="1"/>
      <c r="N6" s="1"/>
    </row>
    <row r="7" spans="1:14" ht="15.75" thickBot="1" x14ac:dyDescent="0.3">
      <c r="A7" t="s">
        <v>55</v>
      </c>
      <c r="B7" s="1"/>
      <c r="D7" s="1"/>
      <c r="F7" s="1"/>
      <c r="H7" s="1"/>
      <c r="L7" s="1"/>
      <c r="M7" s="1"/>
      <c r="N7" s="1"/>
    </row>
    <row r="8" spans="1:14" x14ac:dyDescent="0.25">
      <c r="A8" s="2" t="s">
        <v>7</v>
      </c>
      <c r="B8" s="3">
        <v>29.4</v>
      </c>
      <c r="C8" s="4" t="s">
        <v>9</v>
      </c>
      <c r="D8" s="3">
        <v>2.4</v>
      </c>
      <c r="E8" s="4" t="s">
        <v>12</v>
      </c>
      <c r="F8" s="3">
        <v>7.9</v>
      </c>
      <c r="G8" s="4" t="s">
        <v>14</v>
      </c>
      <c r="H8" s="3">
        <f>D8/F8</f>
        <v>0.30379746835443033</v>
      </c>
      <c r="I8" s="4"/>
      <c r="J8" s="9"/>
      <c r="K8" t="s">
        <v>18</v>
      </c>
      <c r="L8" s="1">
        <f>H9*(F8+D8)/4</f>
        <v>35.020000000000003</v>
      </c>
      <c r="M8" s="1"/>
      <c r="N8" s="1"/>
    </row>
    <row r="9" spans="1:14" ht="15.75" thickBot="1" x14ac:dyDescent="0.3">
      <c r="A9" s="5" t="s">
        <v>8</v>
      </c>
      <c r="B9" s="6">
        <f>(2/3)*F8*((1+H8+H8^2)/(1+H8))</f>
        <v>5.63948220064725</v>
      </c>
      <c r="C9" s="7" t="s">
        <v>10</v>
      </c>
      <c r="D9" s="6">
        <v>41.2</v>
      </c>
      <c r="E9" s="7" t="s">
        <v>13</v>
      </c>
      <c r="F9" s="6">
        <f>TAN(RADIANS(D9))*(H9/6)*(1+2*H8)/(1+H8)</f>
        <v>2.4466817135149328</v>
      </c>
      <c r="G9" s="7" t="s">
        <v>11</v>
      </c>
      <c r="H9" s="6">
        <v>13.6</v>
      </c>
      <c r="I9" s="7" t="s">
        <v>16</v>
      </c>
      <c r="J9" s="8">
        <f>(H9/6)*(1+2*H8)/(1+H8)</f>
        <v>2.7948220064724922</v>
      </c>
      <c r="L9" s="1"/>
      <c r="M9" s="1"/>
      <c r="N9" s="1"/>
    </row>
    <row r="10" spans="1:14" ht="15.75" thickBot="1" x14ac:dyDescent="0.3">
      <c r="B10" s="1"/>
      <c r="D10" s="1"/>
      <c r="F10" s="1"/>
      <c r="H10" s="1"/>
    </row>
    <row r="11" spans="1:14" x14ac:dyDescent="0.25">
      <c r="A11" s="16" t="s">
        <v>46</v>
      </c>
      <c r="B11" s="4"/>
      <c r="C11" s="4" t="s">
        <v>52</v>
      </c>
      <c r="D11" s="4" t="s">
        <v>2</v>
      </c>
      <c r="E11" s="4"/>
      <c r="F11" s="4"/>
      <c r="G11" s="4" t="s">
        <v>3</v>
      </c>
      <c r="H11" s="4" t="s">
        <v>4</v>
      </c>
      <c r="I11" s="4" t="s">
        <v>19</v>
      </c>
      <c r="J11" s="4"/>
      <c r="K11" s="4" t="s">
        <v>32</v>
      </c>
      <c r="L11" s="9" t="s">
        <v>33</v>
      </c>
    </row>
    <row r="12" spans="1:14" x14ac:dyDescent="0.25">
      <c r="A12" s="11" t="s">
        <v>0</v>
      </c>
      <c r="B12" t="s">
        <v>15</v>
      </c>
      <c r="C12" s="12">
        <f>L2</f>
        <v>255.96</v>
      </c>
      <c r="D12" t="s">
        <v>1</v>
      </c>
      <c r="E12" s="17">
        <f>B2+F3+0.4*B3</f>
        <v>18.849252707945062</v>
      </c>
      <c r="G12">
        <v>2.5</v>
      </c>
      <c r="H12" s="12">
        <f>G12*C12</f>
        <v>639.9</v>
      </c>
      <c r="I12" s="12">
        <f>H12*E12</f>
        <v>12061.636807814046</v>
      </c>
      <c r="K12" s="22">
        <v>7.9</v>
      </c>
      <c r="L12" s="13">
        <f>K12*H12</f>
        <v>5055.21</v>
      </c>
    </row>
    <row r="13" spans="1:14" x14ac:dyDescent="0.25">
      <c r="A13" s="11" t="s">
        <v>5</v>
      </c>
      <c r="B13" t="s">
        <v>15</v>
      </c>
      <c r="C13" s="12">
        <f>L5</f>
        <v>58.879999999999988</v>
      </c>
      <c r="D13" t="s">
        <v>1</v>
      </c>
      <c r="E13" s="17">
        <f>0.4*B6+B5+F6</f>
        <v>34.025608138263983</v>
      </c>
      <c r="G13">
        <v>2</v>
      </c>
      <c r="H13" s="12">
        <f>G13*C13</f>
        <v>117.75999999999998</v>
      </c>
      <c r="I13" s="12">
        <f t="shared" ref="I13:I15" si="0">H13*E13</f>
        <v>4006.8556143619658</v>
      </c>
      <c r="K13" s="22">
        <v>7.4</v>
      </c>
      <c r="L13" s="13">
        <f t="shared" ref="L13:L22" si="1">K13*H13</f>
        <v>871.42399999999986</v>
      </c>
    </row>
    <row r="14" spans="1:14" x14ac:dyDescent="0.25">
      <c r="A14" s="11" t="s">
        <v>17</v>
      </c>
      <c r="B14" t="s">
        <v>15</v>
      </c>
      <c r="C14" s="12">
        <f>L8</f>
        <v>35.020000000000003</v>
      </c>
      <c r="D14" t="s">
        <v>1</v>
      </c>
      <c r="E14" s="17">
        <f>B8+F9+0.4*B9</f>
        <v>34.102474593773834</v>
      </c>
      <c r="G14">
        <v>2</v>
      </c>
      <c r="H14" s="12">
        <f>G14*C14</f>
        <v>70.040000000000006</v>
      </c>
      <c r="I14" s="12">
        <f t="shared" si="0"/>
        <v>2388.5373205479195</v>
      </c>
      <c r="K14" s="17">
        <f>K13+J9</f>
        <v>10.194822006472492</v>
      </c>
      <c r="L14" s="13">
        <f t="shared" si="1"/>
        <v>714.04533333333336</v>
      </c>
    </row>
    <row r="15" spans="1:14" x14ac:dyDescent="0.25">
      <c r="A15" s="11" t="s">
        <v>23</v>
      </c>
      <c r="B15" t="s">
        <v>24</v>
      </c>
      <c r="C15" s="12">
        <v>700</v>
      </c>
      <c r="D15" t="s">
        <v>50</v>
      </c>
      <c r="E15" s="22">
        <f>37.58/2</f>
        <v>18.79</v>
      </c>
      <c r="G15">
        <v>1.4</v>
      </c>
      <c r="H15" s="12">
        <f>G15*C15</f>
        <v>979.99999999999989</v>
      </c>
      <c r="I15" s="12">
        <f t="shared" si="0"/>
        <v>18414.199999999997</v>
      </c>
      <c r="K15" s="22">
        <v>5.5</v>
      </c>
      <c r="L15" s="13">
        <f t="shared" si="1"/>
        <v>5389.9999999999991</v>
      </c>
    </row>
    <row r="16" spans="1:14" x14ac:dyDescent="0.25">
      <c r="A16" s="11" t="s">
        <v>22</v>
      </c>
      <c r="B16" t="s">
        <v>53</v>
      </c>
      <c r="C16">
        <v>2000</v>
      </c>
      <c r="D16" t="s">
        <v>1</v>
      </c>
      <c r="E16" s="17">
        <f>E12</f>
        <v>18.849252707945062</v>
      </c>
      <c r="H16" s="12">
        <f>C16</f>
        <v>2000</v>
      </c>
      <c r="I16" s="12">
        <f>H16*E16</f>
        <v>37698.505415890126</v>
      </c>
      <c r="K16" s="17">
        <f>K12</f>
        <v>7.9</v>
      </c>
      <c r="L16" s="13">
        <f t="shared" si="1"/>
        <v>15800</v>
      </c>
    </row>
    <row r="17" spans="1:15" x14ac:dyDescent="0.25">
      <c r="A17" s="11" t="s">
        <v>20</v>
      </c>
      <c r="B17" t="s">
        <v>54</v>
      </c>
      <c r="C17">
        <v>350</v>
      </c>
      <c r="D17" t="s">
        <v>21</v>
      </c>
      <c r="E17" s="22">
        <v>5.4</v>
      </c>
      <c r="G17">
        <v>1.3</v>
      </c>
      <c r="H17" s="12">
        <f>C17*G17</f>
        <v>455</v>
      </c>
      <c r="I17">
        <f>H17*E17</f>
        <v>2457</v>
      </c>
      <c r="K17" s="22">
        <v>5.2</v>
      </c>
      <c r="L17" s="13">
        <f t="shared" si="1"/>
        <v>2366</v>
      </c>
    </row>
    <row r="18" spans="1:15" x14ac:dyDescent="0.25">
      <c r="A18" s="11" t="s">
        <v>25</v>
      </c>
      <c r="B18" t="s">
        <v>27</v>
      </c>
      <c r="C18">
        <v>8000</v>
      </c>
      <c r="D18" t="s">
        <v>21</v>
      </c>
      <c r="E18" s="22">
        <v>4.2</v>
      </c>
      <c r="G18">
        <f>0.057*0.15*0.986</f>
        <v>8.4302999999999999E-3</v>
      </c>
      <c r="H18" s="12">
        <f>G18*C18</f>
        <v>67.442400000000006</v>
      </c>
      <c r="I18" s="12">
        <f t="shared" ref="I18:I22" si="2">H18*E18</f>
        <v>283.25808000000006</v>
      </c>
      <c r="K18" s="22">
        <v>2.6</v>
      </c>
      <c r="L18" s="13">
        <f t="shared" si="1"/>
        <v>175.35024000000001</v>
      </c>
      <c r="N18" t="s">
        <v>56</v>
      </c>
    </row>
    <row r="19" spans="1:15" x14ac:dyDescent="0.25">
      <c r="A19" s="11" t="s">
        <v>26</v>
      </c>
      <c r="B19" t="s">
        <v>27</v>
      </c>
      <c r="C19">
        <v>8000</v>
      </c>
      <c r="D19" t="s">
        <v>21</v>
      </c>
      <c r="E19" s="17">
        <f ca="1">E23+K23*TAN(RADIANS(MAX(N19,15)))</f>
        <v>20.627499029364525</v>
      </c>
      <c r="G19">
        <f>0.057*0.85*0.986</f>
        <v>4.77717E-2</v>
      </c>
      <c r="H19" s="12">
        <f>G19*C19</f>
        <v>382.17360000000002</v>
      </c>
      <c r="I19" s="12">
        <f t="shared" ca="1" si="2"/>
        <v>7883.2855630487466</v>
      </c>
      <c r="K19" s="22">
        <v>2.6</v>
      </c>
      <c r="L19" s="13">
        <f t="shared" si="1"/>
        <v>993.65136000000007</v>
      </c>
      <c r="N19" s="17">
        <f ca="1">DEGREES(ATAN(5.9/(36.4-E19)))</f>
        <v>20.509253316103809</v>
      </c>
      <c r="O19" t="s">
        <v>57</v>
      </c>
    </row>
    <row r="20" spans="1:15" x14ac:dyDescent="0.25">
      <c r="A20" s="11" t="s">
        <v>28</v>
      </c>
      <c r="B20" t="s">
        <v>53</v>
      </c>
      <c r="C20">
        <v>1020</v>
      </c>
      <c r="D20" t="s">
        <v>21</v>
      </c>
      <c r="E20" s="22">
        <v>15.5</v>
      </c>
      <c r="H20" s="12">
        <f>C20</f>
        <v>1020</v>
      </c>
      <c r="I20">
        <f t="shared" si="2"/>
        <v>15810</v>
      </c>
      <c r="K20" s="22">
        <v>5.5</v>
      </c>
      <c r="L20" s="13">
        <f t="shared" si="1"/>
        <v>5610</v>
      </c>
    </row>
    <row r="21" spans="1:15" x14ac:dyDescent="0.25">
      <c r="A21" s="11" t="s">
        <v>29</v>
      </c>
      <c r="B21" t="s">
        <v>53</v>
      </c>
      <c r="C21">
        <v>1000</v>
      </c>
      <c r="D21" t="s">
        <v>21</v>
      </c>
      <c r="E21" s="22">
        <v>21.7</v>
      </c>
      <c r="H21">
        <f>C21</f>
        <v>1000</v>
      </c>
      <c r="I21">
        <f t="shared" si="2"/>
        <v>21700</v>
      </c>
      <c r="K21" s="22">
        <v>5.5</v>
      </c>
      <c r="L21" s="13">
        <f t="shared" si="1"/>
        <v>5500</v>
      </c>
    </row>
    <row r="22" spans="1:15" x14ac:dyDescent="0.25">
      <c r="A22" s="11" t="s">
        <v>30</v>
      </c>
      <c r="C22" s="12"/>
      <c r="E22" s="17">
        <f>E15</f>
        <v>18.79</v>
      </c>
      <c r="H22" s="12">
        <f>$C$18-SUM(H12:H21)</f>
        <v>1267.6840000000002</v>
      </c>
      <c r="I22" s="12">
        <f t="shared" si="2"/>
        <v>23819.782360000001</v>
      </c>
      <c r="K22" s="17">
        <f>K15</f>
        <v>5.5</v>
      </c>
      <c r="L22" s="13">
        <f t="shared" si="1"/>
        <v>6972.2620000000006</v>
      </c>
    </row>
    <row r="23" spans="1:15" ht="15.75" thickBot="1" x14ac:dyDescent="0.3">
      <c r="A23" s="5" t="s">
        <v>48</v>
      </c>
      <c r="B23" s="7"/>
      <c r="C23" s="7"/>
      <c r="D23" s="7"/>
      <c r="E23" s="20">
        <f ca="1">I23/H23</f>
        <v>18.315382645207851</v>
      </c>
      <c r="F23" s="7"/>
      <c r="G23" s="7"/>
      <c r="H23" s="14">
        <f>SUM(H12:H22)</f>
        <v>8000</v>
      </c>
      <c r="I23" s="14">
        <f ca="1">SUM(I12:I22)</f>
        <v>146523.0611616628</v>
      </c>
      <c r="J23" s="7"/>
      <c r="K23" s="20">
        <f>L23/H23</f>
        <v>6.1809928666666671</v>
      </c>
      <c r="L23" s="15">
        <f>SUM(L12:L22)</f>
        <v>49447.942933333339</v>
      </c>
    </row>
    <row r="24" spans="1:15" x14ac:dyDescent="0.25">
      <c r="E24" s="10">
        <f ca="1">(E23-B2-F3)/B3</f>
        <v>0.30300891537128138</v>
      </c>
      <c r="F24" t="s">
        <v>31</v>
      </c>
    </row>
    <row r="25" spans="1:15" ht="15.75" thickBot="1" x14ac:dyDescent="0.3">
      <c r="E25" s="1"/>
    </row>
    <row r="26" spans="1:15" x14ac:dyDescent="0.25">
      <c r="A26" s="16" t="s">
        <v>47</v>
      </c>
      <c r="B26" s="4"/>
      <c r="C26" s="4"/>
      <c r="D26" s="4"/>
      <c r="E26" s="4"/>
      <c r="F26" s="4"/>
      <c r="G26" s="9"/>
      <c r="H26" t="s">
        <v>49</v>
      </c>
    </row>
    <row r="27" spans="1:15" x14ac:dyDescent="0.25">
      <c r="A27" s="11" t="s">
        <v>37</v>
      </c>
      <c r="B27" s="1">
        <f ca="1">E23-E18</f>
        <v>14.115382645207852</v>
      </c>
      <c r="E27" t="s">
        <v>41</v>
      </c>
      <c r="F27" s="17">
        <f ca="1">1.51*(B31/(2*H27))^0.349</f>
        <v>25.888338883646462</v>
      </c>
      <c r="G27" s="13" t="s">
        <v>60</v>
      </c>
      <c r="H27">
        <v>1</v>
      </c>
    </row>
    <row r="28" spans="1:15" x14ac:dyDescent="0.25">
      <c r="A28" s="11" t="s">
        <v>38</v>
      </c>
      <c r="B28" s="1">
        <f ca="1">E19-E23</f>
        <v>2.3121163841566741</v>
      </c>
      <c r="E28" t="s">
        <v>42</v>
      </c>
      <c r="F28" s="17">
        <f ca="1">0.715*(B31/(2*H28))^0.312</f>
        <v>9.0697345237108173</v>
      </c>
      <c r="G28" s="13"/>
      <c r="H28">
        <v>1</v>
      </c>
    </row>
    <row r="29" spans="1:15" x14ac:dyDescent="0.25">
      <c r="A29" s="11" t="s">
        <v>34</v>
      </c>
      <c r="B29" s="1">
        <f ca="1">E19-E18</f>
        <v>16.427499029364526</v>
      </c>
      <c r="E29" t="s">
        <v>43</v>
      </c>
      <c r="F29" s="17">
        <f ca="1">1.51*(B34/H29)^0.349</f>
        <v>19.763858750549449</v>
      </c>
      <c r="G29" s="13" t="s">
        <v>59</v>
      </c>
      <c r="H29">
        <v>1</v>
      </c>
    </row>
    <row r="30" spans="1:15" x14ac:dyDescent="0.25">
      <c r="A30" s="11" t="s">
        <v>35</v>
      </c>
      <c r="B30" s="1">
        <f>K23</f>
        <v>6.1809928666666671</v>
      </c>
      <c r="E30" t="s">
        <v>44</v>
      </c>
      <c r="F30" s="17">
        <f ca="1">0.715*(B34/H30)^0.312</f>
        <v>7.1250970812414556</v>
      </c>
      <c r="G30" s="13"/>
      <c r="H30">
        <v>1</v>
      </c>
    </row>
    <row r="31" spans="1:15" x14ac:dyDescent="0.25">
      <c r="A31" s="11" t="s">
        <v>36</v>
      </c>
      <c r="B31" s="12">
        <f ca="1">H23*B27/B29</f>
        <v>6874.0263481258035</v>
      </c>
      <c r="C31" s="18">
        <f ca="1">B31/$H$23</f>
        <v>0.85925329351572544</v>
      </c>
      <c r="G31" s="13"/>
    </row>
    <row r="32" spans="1:15" x14ac:dyDescent="0.25">
      <c r="A32" s="11" t="s">
        <v>39</v>
      </c>
      <c r="B32" s="12">
        <f ca="1">H23*B28/B29</f>
        <v>1125.9736518741963</v>
      </c>
      <c r="C32" s="18">
        <f ca="1">B32/$H$23</f>
        <v>0.14074670648427454</v>
      </c>
      <c r="G32" s="13"/>
    </row>
    <row r="33" spans="1:7" x14ac:dyDescent="0.25">
      <c r="A33" s="11" t="s">
        <v>40</v>
      </c>
      <c r="B33" s="12">
        <f ca="1">10*B30*H23/(32.17*B29)</f>
        <v>935.67649178863019</v>
      </c>
      <c r="G33" s="13"/>
    </row>
    <row r="34" spans="1:7" ht="15.75" thickBot="1" x14ac:dyDescent="0.3">
      <c r="A34" s="5" t="s">
        <v>45</v>
      </c>
      <c r="B34" s="14">
        <f ca="1">(B32+B33)/1.3</f>
        <v>1585.8847258944818</v>
      </c>
      <c r="C34" s="7"/>
      <c r="D34" s="7"/>
      <c r="E34" s="7"/>
      <c r="F34" s="7"/>
      <c r="G34" s="15"/>
    </row>
  </sheetData>
  <pageMargins left="0.7" right="0.7" top="0.75" bottom="0.75" header="0.3" footer="0.3"/>
  <pageSetup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68283-5F28-4668-BB26-0DAB462F2F32}">
  <sheetPr>
    <pageSetUpPr fitToPage="1"/>
  </sheetPr>
  <dimension ref="A1:O40"/>
  <sheetViews>
    <sheetView zoomScale="90" zoomScaleNormal="90" workbookViewId="0">
      <selection activeCell="L14" sqref="L14"/>
    </sheetView>
  </sheetViews>
  <sheetFormatPr defaultRowHeight="15" x14ac:dyDescent="0.25"/>
  <cols>
    <col min="1" max="1" width="30.28515625" customWidth="1"/>
    <col min="2" max="2" width="13.5703125" customWidth="1"/>
    <col min="3" max="3" width="9" customWidth="1"/>
    <col min="4" max="4" width="9.42578125" customWidth="1"/>
    <col min="5" max="5" width="16.7109375" customWidth="1"/>
    <col min="6" max="6" width="7.5703125" customWidth="1"/>
    <col min="7" max="7" width="15.85546875" customWidth="1"/>
    <col min="8" max="8" width="9.5703125" customWidth="1"/>
    <col min="10" max="10" width="9.28515625" customWidth="1"/>
    <col min="11" max="11" width="10.7109375" customWidth="1"/>
  </cols>
  <sheetData>
    <row r="1" spans="1:15" ht="15.75" thickBot="1" x14ac:dyDescent="0.3">
      <c r="A1" t="s">
        <v>64</v>
      </c>
      <c r="L1" s="1"/>
      <c r="M1" s="1"/>
      <c r="N1" s="1"/>
    </row>
    <row r="2" spans="1:15" x14ac:dyDescent="0.25">
      <c r="A2" s="26" t="s">
        <v>65</v>
      </c>
      <c r="B2" s="25">
        <v>6.14</v>
      </c>
      <c r="C2" s="4" t="s">
        <v>9</v>
      </c>
      <c r="D2" s="19">
        <v>2.8</v>
      </c>
      <c r="E2" s="4" t="s">
        <v>12</v>
      </c>
      <c r="F2" s="19">
        <v>6.9</v>
      </c>
      <c r="G2" s="4" t="s">
        <v>14</v>
      </c>
      <c r="H2" s="19">
        <f>D2/F2</f>
        <v>0.40579710144927533</v>
      </c>
      <c r="I2" s="4"/>
      <c r="J2" s="9"/>
      <c r="K2" t="s">
        <v>18</v>
      </c>
      <c r="L2" s="17">
        <f>H3*(F2+D2)/2</f>
        <v>15.035</v>
      </c>
      <c r="M2" s="1"/>
      <c r="N2" s="1"/>
    </row>
    <row r="3" spans="1:15" ht="15.75" thickBot="1" x14ac:dyDescent="0.3">
      <c r="A3" s="27" t="s">
        <v>8</v>
      </c>
      <c r="B3" s="6">
        <f>(2/3)*F2*((1+H2+H2^2)/(1+H2))</f>
        <v>5.1388316151202744</v>
      </c>
      <c r="C3" s="7" t="s">
        <v>10</v>
      </c>
      <c r="D3" s="20">
        <v>62</v>
      </c>
      <c r="E3" s="7" t="s">
        <v>13</v>
      </c>
      <c r="F3" s="20">
        <f>TAN(RADIANS(D3))*(H3/6)*(1+2*H2)/(1+H2)</f>
        <v>1.2522018991781849</v>
      </c>
      <c r="G3" s="7" t="s">
        <v>11</v>
      </c>
      <c r="H3" s="20">
        <v>3.1</v>
      </c>
      <c r="I3" s="7" t="s">
        <v>16</v>
      </c>
      <c r="J3" s="21">
        <f>(H3/6)*(1+2*H2)/(1+H2)</f>
        <v>0.66580756013745712</v>
      </c>
      <c r="L3" s="1"/>
      <c r="M3" s="1"/>
      <c r="N3" s="1"/>
    </row>
    <row r="4" spans="1:15" ht="15.75" thickBot="1" x14ac:dyDescent="0.3">
      <c r="A4" t="s">
        <v>63</v>
      </c>
      <c r="L4" s="1"/>
      <c r="M4" s="1"/>
      <c r="N4" s="1"/>
    </row>
    <row r="5" spans="1:15" x14ac:dyDescent="0.25">
      <c r="A5" s="26" t="s">
        <v>66</v>
      </c>
      <c r="B5" s="3">
        <f>B2+3.32</f>
        <v>9.4599999999999991</v>
      </c>
      <c r="C5" s="4" t="s">
        <v>9</v>
      </c>
      <c r="D5" s="19">
        <v>1.2</v>
      </c>
      <c r="E5" s="4" t="s">
        <v>12</v>
      </c>
      <c r="F5" s="19">
        <f>D2</f>
        <v>2.8</v>
      </c>
      <c r="G5" s="4" t="s">
        <v>14</v>
      </c>
      <c r="H5" s="19">
        <f>D5/F5</f>
        <v>0.4285714285714286</v>
      </c>
      <c r="I5" s="4"/>
      <c r="J5" s="9"/>
      <c r="K5" t="s">
        <v>18</v>
      </c>
      <c r="L5" s="1">
        <f>H6*(F5+D5)/2</f>
        <v>33</v>
      </c>
      <c r="M5" s="1"/>
      <c r="N5" s="1"/>
    </row>
    <row r="6" spans="1:15" ht="15.6" customHeight="1" thickBot="1" x14ac:dyDescent="0.3">
      <c r="A6" s="27" t="s">
        <v>8</v>
      </c>
      <c r="B6" s="6">
        <f>(2/3)*F5*((1+H5+H5^2)/(1+H5))</f>
        <v>2.1066666666666665</v>
      </c>
      <c r="C6" s="7" t="s">
        <v>10</v>
      </c>
      <c r="D6" s="20">
        <v>28</v>
      </c>
      <c r="E6" s="7" t="s">
        <v>13</v>
      </c>
      <c r="F6" s="20">
        <f>TAN(RADIANS(D3))*H3/2+TAN(RADIANS(D6))*(H6/6)*(1+2*H5)/(1+H5)</f>
        <v>4.815987239476601</v>
      </c>
      <c r="G6" s="7" t="s">
        <v>11</v>
      </c>
      <c r="H6" s="20">
        <v>16.5</v>
      </c>
      <c r="I6" s="7" t="s">
        <v>16</v>
      </c>
      <c r="J6" s="21">
        <f>H3/2+(H6/6)*(1+2*H5)/(1+H5)</f>
        <v>5.125</v>
      </c>
      <c r="L6" s="1"/>
      <c r="M6" s="1"/>
      <c r="N6" s="1"/>
    </row>
    <row r="7" spans="1:15" ht="15.75" thickBot="1" x14ac:dyDescent="0.3">
      <c r="A7" t="s">
        <v>67</v>
      </c>
      <c r="L7" s="1"/>
      <c r="M7" s="1"/>
      <c r="N7" s="1"/>
    </row>
    <row r="8" spans="1:15" ht="15.75" thickBot="1" x14ac:dyDescent="0.3">
      <c r="A8" s="26" t="s">
        <v>7</v>
      </c>
      <c r="B8" s="3">
        <f>B2</f>
        <v>6.14</v>
      </c>
      <c r="C8" s="4" t="s">
        <v>9</v>
      </c>
      <c r="D8" s="19">
        <f>D5</f>
        <v>1.2</v>
      </c>
      <c r="E8" s="4" t="s">
        <v>12</v>
      </c>
      <c r="F8" s="19">
        <f>F2</f>
        <v>6.9</v>
      </c>
      <c r="G8" s="4" t="s">
        <v>14</v>
      </c>
      <c r="H8" s="19">
        <f>D8/F8</f>
        <v>0.17391304347826086</v>
      </c>
      <c r="I8" s="4"/>
      <c r="J8" s="9"/>
      <c r="K8" t="s">
        <v>18</v>
      </c>
      <c r="L8" s="28">
        <f>L2+L5</f>
        <v>48.034999999999997</v>
      </c>
      <c r="M8" s="1"/>
      <c r="N8" s="1"/>
    </row>
    <row r="9" spans="1:15" ht="15.6" customHeight="1" thickBot="1" x14ac:dyDescent="0.3">
      <c r="A9" s="27" t="s">
        <v>8</v>
      </c>
      <c r="B9" s="6">
        <f>(B3*L2+B6*L5)/L8</f>
        <v>3.0557371361160266</v>
      </c>
      <c r="C9" s="7" t="s">
        <v>10</v>
      </c>
      <c r="D9" s="20">
        <f>DEGREES(ATAN((L2*TAN(RADIANS(D3))+L5*TAN(RADIANS(D6)))/L8))</f>
        <v>43.650014131138313</v>
      </c>
      <c r="E9" s="7" t="s">
        <v>13</v>
      </c>
      <c r="F9" s="20">
        <f>(F6*L5+F3*L2)/L8</f>
        <v>3.7005190893488469</v>
      </c>
      <c r="G9" s="7" t="s">
        <v>11</v>
      </c>
      <c r="H9" s="20">
        <v>18.399999999999999</v>
      </c>
      <c r="I9" s="7" t="s">
        <v>16</v>
      </c>
      <c r="J9" s="21">
        <f>F9/TAN(RADIANS(D9))</f>
        <v>3.8791418284372767</v>
      </c>
      <c r="L9" s="1"/>
      <c r="M9" s="1"/>
      <c r="N9" s="1"/>
    </row>
    <row r="10" spans="1:15" ht="15.75" thickBot="1" x14ac:dyDescent="0.3">
      <c r="A10" t="s">
        <v>68</v>
      </c>
      <c r="L10" s="1"/>
      <c r="M10" s="1"/>
      <c r="N10" s="1"/>
    </row>
    <row r="11" spans="1:15" ht="15.75" thickBot="1" x14ac:dyDescent="0.3">
      <c r="A11" s="26" t="s">
        <v>7</v>
      </c>
      <c r="B11" s="3">
        <v>1.79</v>
      </c>
      <c r="C11" s="4" t="s">
        <v>9</v>
      </c>
      <c r="D11" s="19">
        <v>1.1299999999999999</v>
      </c>
      <c r="E11" s="4" t="s">
        <v>12</v>
      </c>
      <c r="F11" s="19">
        <v>1.1299999999999999</v>
      </c>
      <c r="G11" s="4" t="s">
        <v>14</v>
      </c>
      <c r="H11" s="19">
        <f>D11/F11</f>
        <v>1</v>
      </c>
      <c r="I11" s="4"/>
      <c r="J11" s="9"/>
      <c r="K11" t="s">
        <v>18</v>
      </c>
      <c r="L11" s="28">
        <f>H12*(F11+D11)/2</f>
        <v>11.989299999999998</v>
      </c>
      <c r="M11" s="1"/>
      <c r="N11" s="1"/>
    </row>
    <row r="12" spans="1:15" ht="15.6" customHeight="1" thickBot="1" x14ac:dyDescent="0.3">
      <c r="A12" s="27" t="s">
        <v>8</v>
      </c>
      <c r="B12" s="6">
        <f>(2/3)*F11*((1+H11+H11^2)/(1+H11))</f>
        <v>1.1299999999999999</v>
      </c>
      <c r="C12" s="7" t="s">
        <v>10</v>
      </c>
      <c r="D12" s="20">
        <v>0</v>
      </c>
      <c r="E12" s="7" t="s">
        <v>13</v>
      </c>
      <c r="F12" s="20">
        <f>TAN(RADIANS(D12))*(H12/6)*(1+2*H11)/(1+H11)</f>
        <v>0</v>
      </c>
      <c r="G12" s="7" t="s">
        <v>11</v>
      </c>
      <c r="H12" s="20">
        <v>10.61</v>
      </c>
      <c r="I12" s="7" t="s">
        <v>16</v>
      </c>
      <c r="J12" s="21">
        <f>(H12/6)*(1+2*H11)/(1+H11)</f>
        <v>2.6524999999999999</v>
      </c>
      <c r="L12" s="1"/>
      <c r="M12" s="1"/>
      <c r="N12" s="1"/>
    </row>
    <row r="13" spans="1:15" ht="15.75" thickBot="1" x14ac:dyDescent="0.3">
      <c r="A13" t="s">
        <v>55</v>
      </c>
      <c r="B13" s="1"/>
      <c r="D13" s="1"/>
      <c r="F13" s="1"/>
      <c r="H13" s="1"/>
      <c r="L13" s="1"/>
      <c r="M13" s="1"/>
      <c r="N13" s="1"/>
    </row>
    <row r="14" spans="1:15" ht="15.75" thickBot="1" x14ac:dyDescent="0.3">
      <c r="A14" s="26" t="s">
        <v>7</v>
      </c>
      <c r="B14" s="3">
        <v>13.8</v>
      </c>
      <c r="C14" s="4" t="s">
        <v>9</v>
      </c>
      <c r="D14" s="3">
        <v>0.6</v>
      </c>
      <c r="E14" s="4" t="s">
        <v>12</v>
      </c>
      <c r="F14" s="3">
        <v>1.5</v>
      </c>
      <c r="G14" s="4" t="s">
        <v>14</v>
      </c>
      <c r="H14" s="3">
        <f>D14/F14</f>
        <v>0.39999999999999997</v>
      </c>
      <c r="I14" s="4"/>
      <c r="J14" s="9"/>
      <c r="K14" t="s">
        <v>18</v>
      </c>
      <c r="L14" s="28">
        <f>2*H15*(F14+D14)/2</f>
        <v>6.3000000000000007</v>
      </c>
      <c r="M14" s="1"/>
      <c r="N14" s="1"/>
    </row>
    <row r="15" spans="1:15" ht="15.75" thickBot="1" x14ac:dyDescent="0.3">
      <c r="A15" s="27" t="s">
        <v>8</v>
      </c>
      <c r="B15" s="6">
        <f>(2/3)*F14*((1+H14+H14^2)/(1+H14))</f>
        <v>1.1142857142857143</v>
      </c>
      <c r="C15" s="7" t="s">
        <v>10</v>
      </c>
      <c r="D15" s="6">
        <v>26.56</v>
      </c>
      <c r="E15" s="7" t="s">
        <v>13</v>
      </c>
      <c r="F15" s="6">
        <f>TAN(RADIANS(D15))*(H15/6)*(1+2*H14)/(1+H14)</f>
        <v>0.32135773195812206</v>
      </c>
      <c r="G15" s="7" t="s">
        <v>11</v>
      </c>
      <c r="H15" s="6">
        <v>3</v>
      </c>
      <c r="I15" s="7" t="s">
        <v>16</v>
      </c>
      <c r="J15" s="8">
        <f>(H15/6)*(1+2*H14)/(1+H14)</f>
        <v>0.64285714285714279</v>
      </c>
      <c r="L15" s="1"/>
      <c r="M15" s="1"/>
      <c r="N15" s="1"/>
    </row>
    <row r="16" spans="1:15" ht="15.75" thickBot="1" x14ac:dyDescent="0.3">
      <c r="B16" s="1"/>
      <c r="D16" s="1"/>
      <c r="F16" s="1"/>
      <c r="H16" s="1"/>
      <c r="O16" t="s">
        <v>62</v>
      </c>
    </row>
    <row r="17" spans="1:15" x14ac:dyDescent="0.25">
      <c r="A17" s="16" t="s">
        <v>46</v>
      </c>
      <c r="B17" s="4"/>
      <c r="C17" s="4" t="s">
        <v>52</v>
      </c>
      <c r="D17" s="4" t="s">
        <v>2</v>
      </c>
      <c r="E17" s="4"/>
      <c r="F17" s="4"/>
      <c r="G17" s="4" t="s">
        <v>3</v>
      </c>
      <c r="H17" s="4" t="s">
        <v>4</v>
      </c>
      <c r="I17" s="4" t="s">
        <v>19</v>
      </c>
      <c r="J17" s="4"/>
      <c r="K17" s="4" t="s">
        <v>32</v>
      </c>
      <c r="L17" s="9" t="s">
        <v>33</v>
      </c>
    </row>
    <row r="18" spans="1:15" x14ac:dyDescent="0.25">
      <c r="A18" s="11" t="s">
        <v>0</v>
      </c>
      <c r="B18" t="s">
        <v>15</v>
      </c>
      <c r="C18" s="12">
        <f>L8</f>
        <v>48.034999999999997</v>
      </c>
      <c r="D18" t="s">
        <v>1</v>
      </c>
      <c r="E18" s="17">
        <f>B8+F9+0.4*B9</f>
        <v>11.062813943795257</v>
      </c>
      <c r="G18">
        <v>2.5</v>
      </c>
      <c r="H18" s="12">
        <f>G18*C18</f>
        <v>120.08749999999999</v>
      </c>
      <c r="I18" s="12">
        <f>H18*E18</f>
        <v>1328.5056694755128</v>
      </c>
      <c r="K18" s="22">
        <v>3.16</v>
      </c>
      <c r="L18" s="13">
        <f>K18*H18</f>
        <v>379.47649999999999</v>
      </c>
    </row>
    <row r="19" spans="1:15" x14ac:dyDescent="0.25">
      <c r="A19" s="11" t="s">
        <v>5</v>
      </c>
      <c r="B19" t="s">
        <v>15</v>
      </c>
      <c r="C19" s="12">
        <f>L11</f>
        <v>11.989299999999998</v>
      </c>
      <c r="D19" t="s">
        <v>1</v>
      </c>
      <c r="E19" s="17">
        <f>0.4*B12+B11+F12</f>
        <v>2.242</v>
      </c>
      <c r="G19">
        <v>2</v>
      </c>
      <c r="H19" s="12">
        <f>G19*C19</f>
        <v>23.978599999999997</v>
      </c>
      <c r="I19" s="12">
        <f t="shared" ref="I19:I21" si="0">H19*E19</f>
        <v>53.76002119999999</v>
      </c>
      <c r="K19" s="22">
        <v>3.77</v>
      </c>
      <c r="L19" s="13">
        <f t="shared" ref="L19:L28" si="1">K19*H19</f>
        <v>90.399321999999984</v>
      </c>
    </row>
    <row r="20" spans="1:15" x14ac:dyDescent="0.25">
      <c r="A20" s="11" t="s">
        <v>17</v>
      </c>
      <c r="B20" t="s">
        <v>15</v>
      </c>
      <c r="C20" s="12">
        <f>L14</f>
        <v>6.3000000000000007</v>
      </c>
      <c r="D20" t="s">
        <v>1</v>
      </c>
      <c r="E20" s="17">
        <f>B14+F15+0.4*B15</f>
        <v>14.567072017672409</v>
      </c>
      <c r="G20">
        <v>2</v>
      </c>
      <c r="H20" s="12">
        <f>G20*C20</f>
        <v>12.600000000000001</v>
      </c>
      <c r="I20" s="12">
        <f t="shared" si="0"/>
        <v>183.54510742267237</v>
      </c>
      <c r="K20" s="17">
        <v>3.78</v>
      </c>
      <c r="L20" s="13">
        <f t="shared" si="1"/>
        <v>47.628</v>
      </c>
    </row>
    <row r="21" spans="1:15" x14ac:dyDescent="0.25">
      <c r="A21" s="11" t="s">
        <v>23</v>
      </c>
      <c r="B21" t="s">
        <v>24</v>
      </c>
      <c r="C21" s="12">
        <v>62</v>
      </c>
      <c r="D21" t="s">
        <v>50</v>
      </c>
      <c r="E21" s="22">
        <v>7.1</v>
      </c>
      <c r="G21">
        <v>1.4</v>
      </c>
      <c r="H21" s="12">
        <f>G21*C21</f>
        <v>86.8</v>
      </c>
      <c r="I21" s="12">
        <f t="shared" si="0"/>
        <v>616.28</v>
      </c>
      <c r="K21" s="22">
        <v>3.16</v>
      </c>
      <c r="L21" s="13">
        <f t="shared" si="1"/>
        <v>274.28800000000001</v>
      </c>
    </row>
    <row r="22" spans="1:15" x14ac:dyDescent="0.25">
      <c r="A22" s="11" t="s">
        <v>22</v>
      </c>
      <c r="B22" t="s">
        <v>53</v>
      </c>
      <c r="C22">
        <v>156</v>
      </c>
      <c r="D22" t="s">
        <v>1</v>
      </c>
      <c r="E22" s="17">
        <f>F3+0.4*B3</f>
        <v>3.3077345452262952</v>
      </c>
      <c r="H22" s="12">
        <f>C22</f>
        <v>156</v>
      </c>
      <c r="I22" s="12">
        <f>H22*E22</f>
        <v>516.00658905530202</v>
      </c>
      <c r="K22" s="17">
        <v>3.16</v>
      </c>
      <c r="L22" s="13">
        <f t="shared" si="1"/>
        <v>492.96000000000004</v>
      </c>
    </row>
    <row r="23" spans="1:15" x14ac:dyDescent="0.25">
      <c r="A23" s="11" t="s">
        <v>20</v>
      </c>
      <c r="B23" t="s">
        <v>54</v>
      </c>
      <c r="C23">
        <v>170</v>
      </c>
      <c r="D23" t="s">
        <v>21</v>
      </c>
      <c r="E23" s="22">
        <v>11.75</v>
      </c>
      <c r="G23">
        <v>1.4</v>
      </c>
      <c r="H23" s="12">
        <f>C23*G23</f>
        <v>237.99999999999997</v>
      </c>
      <c r="I23">
        <f>H23*E23</f>
        <v>2796.4999999999995</v>
      </c>
      <c r="K23" s="22">
        <v>3.61</v>
      </c>
      <c r="L23" s="13">
        <f t="shared" si="1"/>
        <v>859.17999999999984</v>
      </c>
    </row>
    <row r="24" spans="1:15" x14ac:dyDescent="0.25">
      <c r="A24" s="11" t="s">
        <v>25</v>
      </c>
      <c r="B24" t="s">
        <v>27</v>
      </c>
      <c r="C24">
        <v>1050</v>
      </c>
      <c r="D24" t="s">
        <v>21</v>
      </c>
      <c r="E24" s="22">
        <v>1.6</v>
      </c>
      <c r="G24">
        <v>6.45E-3</v>
      </c>
      <c r="H24" s="12">
        <f>G24*C24</f>
        <v>6.7725</v>
      </c>
      <c r="I24" s="12">
        <f t="shared" ref="I24:I28" si="2">H24*E24</f>
        <v>10.836</v>
      </c>
      <c r="K24" s="22">
        <v>1.66</v>
      </c>
      <c r="L24" s="13">
        <f t="shared" si="1"/>
        <v>11.24235</v>
      </c>
      <c r="N24" t="s">
        <v>56</v>
      </c>
    </row>
    <row r="25" spans="1:15" x14ac:dyDescent="0.25">
      <c r="A25" s="11" t="s">
        <v>26</v>
      </c>
      <c r="B25" t="s">
        <v>27</v>
      </c>
      <c r="C25">
        <v>1050</v>
      </c>
      <c r="D25" t="s">
        <v>21</v>
      </c>
      <c r="E25" s="24">
        <v>9.0500000000000007</v>
      </c>
      <c r="G25">
        <v>3.6549999999999999E-2</v>
      </c>
      <c r="H25" s="12">
        <f>G25*C25</f>
        <v>38.377499999999998</v>
      </c>
      <c r="I25" s="12">
        <f t="shared" si="2"/>
        <v>347.31637499999999</v>
      </c>
      <c r="K25" s="22">
        <v>1.506</v>
      </c>
      <c r="L25" s="13">
        <f t="shared" si="1"/>
        <v>57.796514999999999</v>
      </c>
      <c r="N25" s="17">
        <f>DEGREES(ATAN(1.05/(13.45-E25)))</f>
        <v>13.421835067886208</v>
      </c>
      <c r="O25" t="s">
        <v>57</v>
      </c>
    </row>
    <row r="26" spans="1:15" x14ac:dyDescent="0.25">
      <c r="A26" s="11" t="s">
        <v>28</v>
      </c>
      <c r="B26" t="s">
        <v>53</v>
      </c>
      <c r="C26">
        <v>180</v>
      </c>
      <c r="D26" t="s">
        <v>21</v>
      </c>
      <c r="E26" s="22">
        <v>7</v>
      </c>
      <c r="H26" s="12">
        <f>C26</f>
        <v>180</v>
      </c>
      <c r="I26">
        <f t="shared" si="2"/>
        <v>1260</v>
      </c>
      <c r="K26" s="22">
        <v>3.31</v>
      </c>
      <c r="L26" s="13">
        <f t="shared" si="1"/>
        <v>595.79999999999995</v>
      </c>
    </row>
    <row r="27" spans="1:15" x14ac:dyDescent="0.25">
      <c r="A27" s="11" t="s">
        <v>29</v>
      </c>
      <c r="B27" t="s">
        <v>53</v>
      </c>
      <c r="C27">
        <v>0</v>
      </c>
      <c r="D27" t="s">
        <v>21</v>
      </c>
      <c r="E27" s="22">
        <v>0</v>
      </c>
      <c r="H27">
        <f>C27</f>
        <v>0</v>
      </c>
      <c r="I27">
        <f t="shared" si="2"/>
        <v>0</v>
      </c>
      <c r="K27" s="22">
        <v>0</v>
      </c>
      <c r="L27" s="13">
        <f t="shared" si="1"/>
        <v>0</v>
      </c>
      <c r="N27" t="s">
        <v>61</v>
      </c>
    </row>
    <row r="28" spans="1:15" x14ac:dyDescent="0.25">
      <c r="A28" s="11" t="s">
        <v>30</v>
      </c>
      <c r="C28" s="12"/>
      <c r="E28" s="17">
        <v>8.36</v>
      </c>
      <c r="H28" s="12">
        <f>$C$24-SUM(H18:H27)</f>
        <v>187.38390000000004</v>
      </c>
      <c r="I28" s="12">
        <f t="shared" si="2"/>
        <v>1566.5294040000001</v>
      </c>
      <c r="K28" s="17">
        <v>3.16</v>
      </c>
      <c r="L28" s="13">
        <f t="shared" si="1"/>
        <v>592.13312400000018</v>
      </c>
      <c r="N28" s="17">
        <f>DEGREES(ATAN((E25-E29)/K29))</f>
        <v>13.607251160417018</v>
      </c>
      <c r="O28" t="s">
        <v>57</v>
      </c>
    </row>
    <row r="29" spans="1:15" ht="15.75" thickBot="1" x14ac:dyDescent="0.3">
      <c r="A29" s="5" t="s">
        <v>48</v>
      </c>
      <c r="B29" s="7"/>
      <c r="C29" s="7"/>
      <c r="D29" s="7"/>
      <c r="E29" s="20">
        <f>I29/H29</f>
        <v>8.2659801582414154</v>
      </c>
      <c r="F29" s="7"/>
      <c r="G29" s="7"/>
      <c r="H29" s="14">
        <f>SUM(H18:H28)</f>
        <v>1050</v>
      </c>
      <c r="I29" s="14">
        <f>SUM(I18:I28)</f>
        <v>8679.2791661534866</v>
      </c>
      <c r="J29" s="7"/>
      <c r="K29" s="20">
        <f>L29/H29</f>
        <v>3.2389560104761905</v>
      </c>
      <c r="L29" s="15">
        <f>SUM(L18:L28)</f>
        <v>3400.9038110000001</v>
      </c>
    </row>
    <row r="30" spans="1:15" x14ac:dyDescent="0.25">
      <c r="E30" s="10">
        <f>(E29-B8-F9)/B9</f>
        <v>-0.51527302937736907</v>
      </c>
      <c r="F30" t="s">
        <v>31</v>
      </c>
    </row>
    <row r="31" spans="1:15" x14ac:dyDescent="0.25">
      <c r="E31" s="1"/>
    </row>
    <row r="32" spans="1:15" x14ac:dyDescent="0.25">
      <c r="A32" s="29" t="s">
        <v>47</v>
      </c>
      <c r="B32" s="30"/>
      <c r="C32" s="30"/>
      <c r="D32" s="30"/>
      <c r="E32" s="30"/>
      <c r="F32" s="30"/>
      <c r="G32" s="31" t="s">
        <v>49</v>
      </c>
    </row>
    <row r="33" spans="1:7" x14ac:dyDescent="0.25">
      <c r="A33" s="32" t="s">
        <v>37</v>
      </c>
      <c r="B33" s="1">
        <f>E29-E24</f>
        <v>6.6659801582414158</v>
      </c>
      <c r="E33" t="s">
        <v>41</v>
      </c>
      <c r="F33" s="17">
        <f>1.51*(B37/(2*G33))^0.349</f>
        <v>12.925833184383714</v>
      </c>
      <c r="G33" s="33">
        <v>1</v>
      </c>
    </row>
    <row r="34" spans="1:7" x14ac:dyDescent="0.25">
      <c r="A34" s="32" t="s">
        <v>38</v>
      </c>
      <c r="B34" s="1">
        <f>E25-E29</f>
        <v>0.7840198417585853</v>
      </c>
      <c r="E34" t="s">
        <v>42</v>
      </c>
      <c r="F34" s="17">
        <f>0.715*(B37/(2*G34))^0.312</f>
        <v>4.8744830050018688</v>
      </c>
      <c r="G34" s="33">
        <v>1</v>
      </c>
    </row>
    <row r="35" spans="1:7" x14ac:dyDescent="0.25">
      <c r="A35" s="32" t="s">
        <v>34</v>
      </c>
      <c r="B35" s="1">
        <f>E25-E24</f>
        <v>7.4500000000000011</v>
      </c>
      <c r="E35" t="s">
        <v>43</v>
      </c>
      <c r="F35" s="17">
        <f>1.51*(B40/G35)^0.349</f>
        <v>9.4959948693911205</v>
      </c>
      <c r="G35" s="33">
        <v>1</v>
      </c>
    </row>
    <row r="36" spans="1:7" x14ac:dyDescent="0.25">
      <c r="A36" s="32" t="s">
        <v>35</v>
      </c>
      <c r="B36" s="1">
        <f>K29</f>
        <v>3.2389560104761905</v>
      </c>
      <c r="E36" t="s">
        <v>44</v>
      </c>
      <c r="F36" s="17">
        <f>0.715*(B40/G36)^0.312</f>
        <v>3.7000543493539459</v>
      </c>
      <c r="G36" s="33">
        <v>1</v>
      </c>
    </row>
    <row r="37" spans="1:7" x14ac:dyDescent="0.25">
      <c r="A37" s="32" t="s">
        <v>36</v>
      </c>
      <c r="B37" s="12">
        <f>H29*B33/B35</f>
        <v>939.50055921523301</v>
      </c>
      <c r="C37" s="18">
        <f>B37/$H$29</f>
        <v>0.894762437347841</v>
      </c>
      <c r="G37" s="33"/>
    </row>
    <row r="38" spans="1:7" x14ac:dyDescent="0.25">
      <c r="A38" s="32" t="s">
        <v>39</v>
      </c>
      <c r="B38" s="12">
        <f>H29*B34/B35</f>
        <v>110.49944078476703</v>
      </c>
      <c r="C38" s="18">
        <f>B38/$H$29</f>
        <v>0.10523756265215908</v>
      </c>
      <c r="E38" s="29" t="s">
        <v>69</v>
      </c>
      <c r="F38">
        <v>100</v>
      </c>
      <c r="G38" s="33" t="s">
        <v>70</v>
      </c>
    </row>
    <row r="39" spans="1:7" x14ac:dyDescent="0.25">
      <c r="A39" s="32" t="s">
        <v>40</v>
      </c>
      <c r="B39" s="12">
        <f>10*B36*H29/(32.17*B35)</f>
        <v>141.90150943081321</v>
      </c>
      <c r="E39" s="38" t="s">
        <v>72</v>
      </c>
      <c r="F39" s="1">
        <f>1.7*$F$38^0.25</f>
        <v>5.3758720222862451</v>
      </c>
      <c r="G39" s="33" t="s">
        <v>71</v>
      </c>
    </row>
    <row r="40" spans="1:7" x14ac:dyDescent="0.25">
      <c r="A40" s="34" t="s">
        <v>45</v>
      </c>
      <c r="B40" s="35">
        <f>(B38+B39)/1.3</f>
        <v>194.15457708890787</v>
      </c>
      <c r="C40" s="36"/>
      <c r="D40" s="36"/>
      <c r="E40" s="39" t="s">
        <v>73</v>
      </c>
      <c r="F40" s="40">
        <f>1.6*$F$38^0.25</f>
        <v>5.0596442562694079</v>
      </c>
      <c r="G40" s="37" t="s">
        <v>71</v>
      </c>
    </row>
  </sheetData>
  <pageMargins left="0.7" right="0.7" top="0.75" bottom="0.75" header="0.3" footer="0.3"/>
  <pageSetup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Goal Seek</vt:lpstr>
      <vt:lpstr>Circular Ref and Goal Seek</vt:lpstr>
      <vt:lpstr>Solver</vt:lpstr>
      <vt:lpstr>'Circular Ref and Goal Seek'!Print_Area</vt:lpstr>
      <vt:lpstr>'Goal Seek'!Print_Area</vt:lpstr>
      <vt:lpstr>Solver!Print_Area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R. Pertierra</dc:creator>
  <cp:lastModifiedBy>Jose R. Pertierra</cp:lastModifiedBy>
  <cp:lastPrinted>2019-01-31T01:57:39Z</cp:lastPrinted>
  <dcterms:created xsi:type="dcterms:W3CDTF">2018-06-11T13:18:12Z</dcterms:created>
  <dcterms:modified xsi:type="dcterms:W3CDTF">2025-10-20T21:01:41Z</dcterms:modified>
</cp:coreProperties>
</file>